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tlteam-my.sharepoint.com/personal/horna_wtlteam_onmicrosoft_com/Documents/WTL TEAM/WTL TEAM 2024/Zakázky 2024/Ostatní zakázky/Rozpracované zakázky (Červené)/080124 - Nemocnice Most - ORL/"/>
    </mc:Choice>
  </mc:AlternateContent>
  <xr:revisionPtr revIDLastSave="0" documentId="8_{DF9DAAD0-E965-479C-877F-A07741502DB9}" xr6:coauthVersionLast="47" xr6:coauthVersionMax="47" xr10:uidLastSave="{00000000-0000-0000-0000-000000000000}"/>
  <bookViews>
    <workbookView xWindow="-110" yWindow="-110" windowWidth="19420" windowHeight="10300"/>
  </bookViews>
  <sheets>
    <sheet name="Stavební rozpočet" sheetId="1" r:id="rId1"/>
    <sheet name="Krycí list rozpočtu" sheetId="2" r:id="rId2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AK13" i="1"/>
  <c r="M13" i="1"/>
  <c r="AO13" i="1"/>
  <c r="I13" i="1"/>
  <c r="AP13" i="1"/>
  <c r="J13" i="1"/>
  <c r="BD13" i="1"/>
  <c r="BF13" i="1"/>
  <c r="BJ13" i="1"/>
  <c r="Z13" i="1"/>
  <c r="I14" i="1"/>
  <c r="K14" i="1"/>
  <c r="M14" i="1"/>
  <c r="Z14" i="1"/>
  <c r="AJ14" i="1"/>
  <c r="AK14" i="1"/>
  <c r="AL14" i="1"/>
  <c r="AO14" i="1"/>
  <c r="AP14" i="1"/>
  <c r="J14" i="1"/>
  <c r="AX14" i="1"/>
  <c r="AW14" i="1"/>
  <c r="AV14" i="1"/>
  <c r="BD14" i="1"/>
  <c r="BF14" i="1"/>
  <c r="BH14" i="1"/>
  <c r="AB14" i="1"/>
  <c r="BJ14" i="1"/>
  <c r="AH14" i="1"/>
  <c r="K15" i="1"/>
  <c r="AK15" i="1"/>
  <c r="M15" i="1"/>
  <c r="AH15" i="1"/>
  <c r="AO15" i="1"/>
  <c r="AW15" i="1"/>
  <c r="AP15" i="1"/>
  <c r="J15" i="1"/>
  <c r="BD15" i="1"/>
  <c r="BF15" i="1"/>
  <c r="BJ15" i="1"/>
  <c r="Z15" i="1"/>
  <c r="K16" i="1"/>
  <c r="AJ16" i="1"/>
  <c r="M16" i="1"/>
  <c r="Z16" i="1"/>
  <c r="AK16" i="1"/>
  <c r="AL16" i="1"/>
  <c r="AO16" i="1"/>
  <c r="I16" i="1"/>
  <c r="AP16" i="1"/>
  <c r="J16" i="1"/>
  <c r="AX16" i="1"/>
  <c r="BD16" i="1"/>
  <c r="BF16" i="1"/>
  <c r="BJ16" i="1"/>
  <c r="AH16" i="1"/>
  <c r="K17" i="1"/>
  <c r="AK17" i="1"/>
  <c r="M17" i="1"/>
  <c r="AO17" i="1"/>
  <c r="BH17" i="1"/>
  <c r="AP17" i="1"/>
  <c r="BD17" i="1"/>
  <c r="BF17" i="1"/>
  <c r="BJ17" i="1"/>
  <c r="AH17" i="1"/>
  <c r="Z17" i="1"/>
  <c r="K18" i="1"/>
  <c r="AK18" i="1"/>
  <c r="M18" i="1"/>
  <c r="AJ18" i="1"/>
  <c r="AO18" i="1"/>
  <c r="I18" i="1"/>
  <c r="AP18" i="1"/>
  <c r="BI18" i="1"/>
  <c r="AX18" i="1"/>
  <c r="BD18" i="1"/>
  <c r="BF18" i="1"/>
  <c r="BJ18" i="1"/>
  <c r="Z18" i="1"/>
  <c r="AH18" i="1"/>
  <c r="K19" i="1"/>
  <c r="AK19" i="1"/>
  <c r="M19" i="1"/>
  <c r="AL19" i="1"/>
  <c r="AO19" i="1"/>
  <c r="I19" i="1"/>
  <c r="AW19" i="1"/>
  <c r="AV19" i="1"/>
  <c r="AP19" i="1"/>
  <c r="BD19" i="1"/>
  <c r="BF19" i="1"/>
  <c r="BH19" i="1"/>
  <c r="AD19" i="1"/>
  <c r="BJ19" i="1"/>
  <c r="Z19" i="1"/>
  <c r="AH19" i="1"/>
  <c r="K21" i="1"/>
  <c r="AK21" i="1"/>
  <c r="M21" i="1"/>
  <c r="BF21" i="1"/>
  <c r="AL21" i="1"/>
  <c r="AO21" i="1"/>
  <c r="I21" i="1"/>
  <c r="AP21" i="1"/>
  <c r="AX21" i="1"/>
  <c r="J21" i="1"/>
  <c r="BD21" i="1"/>
  <c r="BI21" i="1"/>
  <c r="AE21" i="1"/>
  <c r="BJ21" i="1"/>
  <c r="Z21" i="1"/>
  <c r="K22" i="1"/>
  <c r="AK22" i="1"/>
  <c r="M22" i="1"/>
  <c r="BF22" i="1"/>
  <c r="AJ22" i="1"/>
  <c r="AO22" i="1"/>
  <c r="AW22" i="1"/>
  <c r="AP22" i="1"/>
  <c r="J22" i="1"/>
  <c r="BD22" i="1"/>
  <c r="BJ22" i="1"/>
  <c r="Z22" i="1"/>
  <c r="K23" i="1"/>
  <c r="AJ23" i="1"/>
  <c r="M23" i="1"/>
  <c r="BF23" i="1"/>
  <c r="AO23" i="1"/>
  <c r="I23" i="1"/>
  <c r="AP23" i="1"/>
  <c r="J23" i="1"/>
  <c r="AW23" i="1"/>
  <c r="AX23" i="1"/>
  <c r="BC23" i="1"/>
  <c r="BD23" i="1"/>
  <c r="BH23" i="1"/>
  <c r="AD23" i="1"/>
  <c r="BI23" i="1"/>
  <c r="AE23" i="1"/>
  <c r="BJ23" i="1"/>
  <c r="Z23" i="1"/>
  <c r="K24" i="1"/>
  <c r="AL24" i="1"/>
  <c r="M24" i="1"/>
  <c r="BF24" i="1"/>
  <c r="AK24" i="1"/>
  <c r="AO24" i="1"/>
  <c r="BH24" i="1"/>
  <c r="AP24" i="1"/>
  <c r="BD24" i="1"/>
  <c r="BJ24" i="1"/>
  <c r="Z24" i="1"/>
  <c r="K25" i="1"/>
  <c r="AL25" i="1"/>
  <c r="M25" i="1"/>
  <c r="BF25" i="1"/>
  <c r="AO25" i="1"/>
  <c r="AP25" i="1"/>
  <c r="J25" i="1"/>
  <c r="J20" i="1"/>
  <c r="BD25" i="1"/>
  <c r="BJ25" i="1"/>
  <c r="Z25" i="1"/>
  <c r="K27" i="1"/>
  <c r="AK27" i="1"/>
  <c r="M27" i="1"/>
  <c r="AJ27" i="1"/>
  <c r="AO27" i="1"/>
  <c r="I27" i="1"/>
  <c r="I26" i="1"/>
  <c r="AP27" i="1"/>
  <c r="AX27" i="1"/>
  <c r="BD27" i="1"/>
  <c r="BF27" i="1"/>
  <c r="BJ27" i="1"/>
  <c r="Z27" i="1"/>
  <c r="K28" i="1"/>
  <c r="AJ28" i="1"/>
  <c r="AS26" i="1"/>
  <c r="AK28" i="1"/>
  <c r="AT26" i="1"/>
  <c r="M28" i="1"/>
  <c r="BF28" i="1"/>
  <c r="AO28" i="1"/>
  <c r="AW28" i="1"/>
  <c r="BC28" i="1"/>
  <c r="AP28" i="1"/>
  <c r="J28" i="1"/>
  <c r="BD28" i="1"/>
  <c r="BH28" i="1"/>
  <c r="AD28" i="1"/>
  <c r="BJ28" i="1"/>
  <c r="Z28" i="1"/>
  <c r="J30" i="1"/>
  <c r="J29" i="1"/>
  <c r="K30" i="1"/>
  <c r="M30" i="1"/>
  <c r="AC30" i="1"/>
  <c r="AG30" i="1"/>
  <c r="AO30" i="1"/>
  <c r="AP30" i="1"/>
  <c r="AX30" i="1"/>
  <c r="BC30" i="1"/>
  <c r="BD30" i="1"/>
  <c r="BF30" i="1"/>
  <c r="BI30" i="1"/>
  <c r="AE30" i="1"/>
  <c r="BJ30" i="1"/>
  <c r="Z30" i="1"/>
  <c r="K31" i="1"/>
  <c r="AK31" i="1"/>
  <c r="AT29" i="1"/>
  <c r="M31" i="1"/>
  <c r="BF31" i="1"/>
  <c r="AJ31" i="1"/>
  <c r="AO31" i="1"/>
  <c r="BH31" i="1"/>
  <c r="AW31" i="1"/>
  <c r="AP31" i="1"/>
  <c r="J31" i="1"/>
  <c r="BD31" i="1"/>
  <c r="BI31" i="1"/>
  <c r="AE31" i="1"/>
  <c r="BJ31" i="1"/>
  <c r="AH31" i="1"/>
  <c r="M32" i="1"/>
  <c r="K33" i="1"/>
  <c r="M33" i="1"/>
  <c r="AO33" i="1"/>
  <c r="BH33" i="1"/>
  <c r="AP33" i="1"/>
  <c r="BD33" i="1"/>
  <c r="BF33" i="1"/>
  <c r="BI33" i="1"/>
  <c r="AE33" i="1"/>
  <c r="BJ33" i="1"/>
  <c r="Z33" i="1"/>
  <c r="I34" i="1"/>
  <c r="K34" i="1"/>
  <c r="AJ34" i="1"/>
  <c r="M34" i="1"/>
  <c r="AL34" i="1"/>
  <c r="AO34" i="1"/>
  <c r="BH34" i="1"/>
  <c r="AF34" i="1"/>
  <c r="AP34" i="1"/>
  <c r="AW34" i="1"/>
  <c r="BD34" i="1"/>
  <c r="BF34" i="1"/>
  <c r="BJ34" i="1"/>
  <c r="AH34" i="1"/>
  <c r="K36" i="1"/>
  <c r="AK36" i="1"/>
  <c r="AT35" i="1"/>
  <c r="K35" i="1"/>
  <c r="M36" i="1"/>
  <c r="M35" i="1"/>
  <c r="AJ36" i="1"/>
  <c r="AS35" i="1"/>
  <c r="AO36" i="1"/>
  <c r="I36" i="1"/>
  <c r="I35" i="1"/>
  <c r="AP36" i="1"/>
  <c r="AX36" i="1"/>
  <c r="BC36" i="1"/>
  <c r="AW36" i="1"/>
  <c r="AV36" i="1"/>
  <c r="BD36" i="1"/>
  <c r="BH36" i="1"/>
  <c r="AD36" i="1"/>
  <c r="BJ36" i="1"/>
  <c r="AH36" i="1"/>
  <c r="K38" i="1"/>
  <c r="AJ38" i="1"/>
  <c r="AS37" i="1"/>
  <c r="M38" i="1"/>
  <c r="BF38" i="1"/>
  <c r="AK38" i="1"/>
  <c r="AT37" i="1"/>
  <c r="AL38" i="1"/>
  <c r="AO38" i="1"/>
  <c r="AW38" i="1"/>
  <c r="AP38" i="1"/>
  <c r="AX38" i="1"/>
  <c r="BC38" i="1"/>
  <c r="BD38" i="1"/>
  <c r="BH38" i="1"/>
  <c r="AF38" i="1"/>
  <c r="BJ38" i="1"/>
  <c r="Z38" i="1"/>
  <c r="K39" i="1"/>
  <c r="AL39" i="1"/>
  <c r="AJ39" i="1"/>
  <c r="M39" i="1"/>
  <c r="AK39" i="1"/>
  <c r="AO39" i="1"/>
  <c r="I39" i="1"/>
  <c r="I37" i="1"/>
  <c r="AP39" i="1"/>
  <c r="J39" i="1"/>
  <c r="AX39" i="1"/>
  <c r="BD39" i="1"/>
  <c r="BF39" i="1"/>
  <c r="BI39" i="1"/>
  <c r="AG39" i="1"/>
  <c r="AE39" i="1"/>
  <c r="BJ39" i="1"/>
  <c r="Z39" i="1"/>
  <c r="I41" i="1"/>
  <c r="I40" i="1"/>
  <c r="K41" i="1"/>
  <c r="M41" i="1"/>
  <c r="AJ41" i="1"/>
  <c r="AS40" i="1"/>
  <c r="AK41" i="1"/>
  <c r="AT40" i="1"/>
  <c r="AO41" i="1"/>
  <c r="BH41" i="1"/>
  <c r="AF41" i="1"/>
  <c r="AP41" i="1"/>
  <c r="AX41" i="1"/>
  <c r="BD41" i="1"/>
  <c r="BF41" i="1"/>
  <c r="BJ41" i="1"/>
  <c r="Z41" i="1"/>
  <c r="AH41" i="1"/>
  <c r="K42" i="1"/>
  <c r="AL42" i="1"/>
  <c r="AK42" i="1"/>
  <c r="M42" i="1"/>
  <c r="BF42" i="1"/>
  <c r="AH42" i="1"/>
  <c r="AJ42" i="1"/>
  <c r="AO42" i="1"/>
  <c r="I42" i="1"/>
  <c r="AW42" i="1"/>
  <c r="AV42" i="1"/>
  <c r="AP42" i="1"/>
  <c r="AX42" i="1"/>
  <c r="BC42" i="1"/>
  <c r="J42" i="1"/>
  <c r="BD42" i="1"/>
  <c r="BJ42" i="1"/>
  <c r="Z42" i="1"/>
  <c r="K44" i="1"/>
  <c r="AK44" i="1"/>
  <c r="AT43" i="1"/>
  <c r="AJ44" i="1"/>
  <c r="AS43" i="1"/>
  <c r="M44" i="1"/>
  <c r="M43" i="1"/>
  <c r="AO44" i="1"/>
  <c r="I44" i="1"/>
  <c r="I43" i="1"/>
  <c r="AP44" i="1"/>
  <c r="J44" i="1"/>
  <c r="J43" i="1"/>
  <c r="BD44" i="1"/>
  <c r="BF44" i="1"/>
  <c r="BJ44" i="1"/>
  <c r="Z44" i="1"/>
  <c r="M45" i="1"/>
  <c r="K46" i="1"/>
  <c r="K45" i="1"/>
  <c r="M46" i="1"/>
  <c r="BF46" i="1"/>
  <c r="AJ46" i="1"/>
  <c r="AS45" i="1"/>
  <c r="AO46" i="1"/>
  <c r="I46" i="1"/>
  <c r="I45" i="1"/>
  <c r="AP46" i="1"/>
  <c r="AX46" i="1"/>
  <c r="BD46" i="1"/>
  <c r="BJ46" i="1"/>
  <c r="AH46" i="1"/>
  <c r="K48" i="1"/>
  <c r="AJ48" i="1"/>
  <c r="M48" i="1"/>
  <c r="BF48" i="1"/>
  <c r="AO48" i="1"/>
  <c r="AW48" i="1"/>
  <c r="AP48" i="1"/>
  <c r="AX48" i="1"/>
  <c r="AV48" i="1"/>
  <c r="BD48" i="1"/>
  <c r="BH48" i="1"/>
  <c r="AD48" i="1"/>
  <c r="AF48" i="1"/>
  <c r="BJ48" i="1"/>
  <c r="Z48" i="1"/>
  <c r="K49" i="1"/>
  <c r="AL49" i="1"/>
  <c r="AJ49" i="1"/>
  <c r="M49" i="1"/>
  <c r="AO49" i="1"/>
  <c r="I49" i="1"/>
  <c r="AP49" i="1"/>
  <c r="J49" i="1"/>
  <c r="BD49" i="1"/>
  <c r="BF49" i="1"/>
  <c r="BI49" i="1"/>
  <c r="AE49" i="1"/>
  <c r="BJ49" i="1"/>
  <c r="Z49" i="1"/>
  <c r="K50" i="1"/>
  <c r="AK50" i="1"/>
  <c r="M50" i="1"/>
  <c r="BF50" i="1"/>
  <c r="AO50" i="1"/>
  <c r="AW50" i="1"/>
  <c r="AP50" i="1"/>
  <c r="J50" i="1"/>
  <c r="BD50" i="1"/>
  <c r="BH50" i="1"/>
  <c r="AB50" i="1"/>
  <c r="BI50" i="1"/>
  <c r="AG50" i="1"/>
  <c r="BJ50" i="1"/>
  <c r="AH50" i="1"/>
  <c r="K51" i="1"/>
  <c r="AK51" i="1"/>
  <c r="AJ51" i="1"/>
  <c r="M51" i="1"/>
  <c r="BF51" i="1"/>
  <c r="AL51" i="1"/>
  <c r="AO51" i="1"/>
  <c r="I51" i="1"/>
  <c r="AP51" i="1"/>
  <c r="AX51" i="1"/>
  <c r="J51" i="1"/>
  <c r="AW51" i="1"/>
  <c r="BD51" i="1"/>
  <c r="BH51" i="1"/>
  <c r="AB51" i="1"/>
  <c r="BJ51" i="1"/>
  <c r="Z51" i="1"/>
  <c r="K52" i="1"/>
  <c r="AK52" i="1"/>
  <c r="M52" i="1"/>
  <c r="BF52" i="1"/>
  <c r="AJ52" i="1"/>
  <c r="AL52" i="1"/>
  <c r="AO52" i="1"/>
  <c r="AW52" i="1"/>
  <c r="AP52" i="1"/>
  <c r="BI52" i="1"/>
  <c r="J52" i="1"/>
  <c r="BD52" i="1"/>
  <c r="BJ52" i="1"/>
  <c r="Z52" i="1"/>
  <c r="K53" i="1"/>
  <c r="AJ53" i="1"/>
  <c r="M53" i="1"/>
  <c r="BF53" i="1"/>
  <c r="AK53" i="1"/>
  <c r="AO53" i="1"/>
  <c r="AW53" i="1"/>
  <c r="I53" i="1"/>
  <c r="AP53" i="1"/>
  <c r="J53" i="1"/>
  <c r="BD53" i="1"/>
  <c r="BI53" i="1"/>
  <c r="AE53" i="1"/>
  <c r="BJ53" i="1"/>
  <c r="Z53" i="1"/>
  <c r="K54" i="1"/>
  <c r="AJ54" i="1"/>
  <c r="M54" i="1"/>
  <c r="BF54" i="1"/>
  <c r="AL54" i="1"/>
  <c r="AO54" i="1"/>
  <c r="AW54" i="1"/>
  <c r="AP54" i="1"/>
  <c r="AX54" i="1"/>
  <c r="BC54" i="1"/>
  <c r="BD54" i="1"/>
  <c r="BJ54" i="1"/>
  <c r="AH54" i="1"/>
  <c r="Z54" i="1"/>
  <c r="K55" i="1"/>
  <c r="AJ55" i="1"/>
  <c r="M55" i="1"/>
  <c r="BF55" i="1"/>
  <c r="AK55" i="1"/>
  <c r="AO55" i="1"/>
  <c r="BH55" i="1"/>
  <c r="I55" i="1"/>
  <c r="AP55" i="1"/>
  <c r="AX55" i="1"/>
  <c r="BD55" i="1"/>
  <c r="BJ55" i="1"/>
  <c r="AH55" i="1"/>
  <c r="Z55" i="1"/>
  <c r="K57" i="1"/>
  <c r="K56" i="1"/>
  <c r="M57" i="1"/>
  <c r="M56" i="1"/>
  <c r="AJ57" i="1"/>
  <c r="AS56" i="1"/>
  <c r="AO57" i="1"/>
  <c r="BH57" i="1"/>
  <c r="AP57" i="1"/>
  <c r="AX57" i="1"/>
  <c r="BD57" i="1"/>
  <c r="BF57" i="1"/>
  <c r="BJ57" i="1"/>
  <c r="AH57" i="1"/>
  <c r="K59" i="1"/>
  <c r="K58" i="1"/>
  <c r="AK59" i="1"/>
  <c r="M59" i="1"/>
  <c r="BF59" i="1"/>
  <c r="AL59" i="1"/>
  <c r="AO59" i="1"/>
  <c r="AW59" i="1"/>
  <c r="AP59" i="1"/>
  <c r="AX59" i="1"/>
  <c r="BD59" i="1"/>
  <c r="BJ59" i="1"/>
  <c r="Z59" i="1"/>
  <c r="K60" i="1"/>
  <c r="AJ60" i="1"/>
  <c r="M60" i="1"/>
  <c r="BF60" i="1"/>
  <c r="AK60" i="1"/>
  <c r="AO60" i="1"/>
  <c r="I60" i="1"/>
  <c r="AP60" i="1"/>
  <c r="J60" i="1"/>
  <c r="BD60" i="1"/>
  <c r="BI60" i="1"/>
  <c r="AE60" i="1"/>
  <c r="BJ60" i="1"/>
  <c r="Z60" i="1"/>
  <c r="K61" i="1"/>
  <c r="AL61" i="1"/>
  <c r="M61" i="1"/>
  <c r="BF61" i="1"/>
  <c r="AO61" i="1"/>
  <c r="AW61" i="1"/>
  <c r="BC61" i="1"/>
  <c r="AP61" i="1"/>
  <c r="AX61" i="1"/>
  <c r="BD61" i="1"/>
  <c r="BJ61" i="1"/>
  <c r="AH61" i="1"/>
  <c r="Z61" i="1"/>
  <c r="F22" i="2"/>
  <c r="AD41" i="1"/>
  <c r="AB41" i="1"/>
  <c r="AJ50" i="1"/>
  <c r="AL48" i="1"/>
  <c r="AF50" i="1"/>
  <c r="I50" i="1"/>
  <c r="AK48" i="1"/>
  <c r="Z31" i="1"/>
  <c r="J27" i="1"/>
  <c r="J26" i="1"/>
  <c r="AH24" i="1"/>
  <c r="BH61" i="1"/>
  <c r="AF61" i="1"/>
  <c r="AJ59" i="1"/>
  <c r="AK54" i="1"/>
  <c r="AL50" i="1"/>
  <c r="Z50" i="1"/>
  <c r="AX49" i="1"/>
  <c r="AG49" i="1"/>
  <c r="AW41" i="1"/>
  <c r="BC41" i="1"/>
  <c r="AV41" i="1"/>
  <c r="AC39" i="1"/>
  <c r="BF36" i="1"/>
  <c r="AF36" i="1"/>
  <c r="I28" i="1"/>
  <c r="AL22" i="1"/>
  <c r="AG21" i="1"/>
  <c r="AL18" i="1"/>
  <c r="J18" i="1"/>
  <c r="AX15" i="1"/>
  <c r="AX13" i="1"/>
  <c r="J55" i="1"/>
  <c r="M26" i="1"/>
  <c r="BI22" i="1"/>
  <c r="AC22" i="1"/>
  <c r="M12" i="1"/>
  <c r="AX52" i="1"/>
  <c r="AX50" i="1"/>
  <c r="AV50" i="1"/>
  <c r="BC50" i="1"/>
  <c r="AC49" i="1"/>
  <c r="K40" i="1"/>
  <c r="AB36" i="1"/>
  <c r="AF23" i="1"/>
  <c r="AX22" i="1"/>
  <c r="AC21" i="1"/>
  <c r="BH18" i="1"/>
  <c r="AF18" i="1"/>
  <c r="AW18" i="1"/>
  <c r="AV18" i="1"/>
  <c r="BI16" i="1"/>
  <c r="AC16" i="1"/>
  <c r="AG16" i="1"/>
  <c r="BI14" i="1"/>
  <c r="AE14" i="1"/>
  <c r="AG14" i="1"/>
  <c r="BC14" i="1"/>
  <c r="AH60" i="1"/>
  <c r="AH52" i="1"/>
  <c r="AC50" i="1"/>
  <c r="AX24" i="1"/>
  <c r="BI24" i="1"/>
  <c r="AG24" i="1"/>
  <c r="BH22" i="1"/>
  <c r="AF22" i="1"/>
  <c r="I22" i="1"/>
  <c r="J19" i="1"/>
  <c r="BI19" i="1"/>
  <c r="AE19" i="1"/>
  <c r="J17" i="1"/>
  <c r="BI17" i="1"/>
  <c r="AH59" i="1"/>
  <c r="J59" i="1"/>
  <c r="M58" i="1"/>
  <c r="J57" i="1"/>
  <c r="J56" i="1"/>
  <c r="J54" i="1"/>
  <c r="BH53" i="1"/>
  <c r="AF53" i="1"/>
  <c r="I52" i="1"/>
  <c r="AH49" i="1"/>
  <c r="K43" i="1"/>
  <c r="AD38" i="1"/>
  <c r="J33" i="1"/>
  <c r="AX33" i="1"/>
  <c r="AG33" i="1"/>
  <c r="AC31" i="1"/>
  <c r="I30" i="1"/>
  <c r="AW30" i="1"/>
  <c r="BH30" i="1"/>
  <c r="AJ30" i="1"/>
  <c r="AS29" i="1"/>
  <c r="AL30" i="1"/>
  <c r="K29" i="1"/>
  <c r="AH27" i="1"/>
  <c r="I25" i="1"/>
  <c r="AW25" i="1"/>
  <c r="BH25" i="1"/>
  <c r="AF25" i="1"/>
  <c r="AJ25" i="1"/>
  <c r="AW24" i="1"/>
  <c r="AV24" i="1"/>
  <c r="I24" i="1"/>
  <c r="AV23" i="1"/>
  <c r="AE16" i="1"/>
  <c r="AL13" i="1"/>
  <c r="BH60" i="1"/>
  <c r="AF60" i="1"/>
  <c r="AW60" i="1"/>
  <c r="BI59" i="1"/>
  <c r="AL57" i="1"/>
  <c r="AU56" i="1"/>
  <c r="Z57" i="1"/>
  <c r="AW55" i="1"/>
  <c r="BI54" i="1"/>
  <c r="AG54" i="1"/>
  <c r="I54" i="1"/>
  <c r="AD50" i="1"/>
  <c r="AH48" i="1"/>
  <c r="M47" i="1"/>
  <c r="BI46" i="1"/>
  <c r="J46" i="1"/>
  <c r="J45" i="1"/>
  <c r="BH42" i="1"/>
  <c r="AB42" i="1"/>
  <c r="BI41" i="1"/>
  <c r="AG41" i="1"/>
  <c r="J41" i="1"/>
  <c r="J40" i="1"/>
  <c r="M40" i="1"/>
  <c r="AB38" i="1"/>
  <c r="J38" i="1"/>
  <c r="J37" i="1"/>
  <c r="M37" i="1"/>
  <c r="AK34" i="1"/>
  <c r="AK33" i="1"/>
  <c r="AT32" i="1"/>
  <c r="AL33" i="1"/>
  <c r="AU32" i="1"/>
  <c r="K32" i="1"/>
  <c r="AK30" i="1"/>
  <c r="BI27" i="1"/>
  <c r="AK25" i="1"/>
  <c r="AH23" i="1"/>
  <c r="AB23" i="1"/>
  <c r="M20" i="1"/>
  <c r="AX19" i="1"/>
  <c r="AX17" i="1"/>
  <c r="AC14" i="1"/>
  <c r="AJ13" i="1"/>
  <c r="I61" i="1"/>
  <c r="AK57" i="1"/>
  <c r="AT56" i="1"/>
  <c r="BH54" i="1"/>
  <c r="AH53" i="1"/>
  <c r="BH49" i="1"/>
  <c r="AB49" i="1"/>
  <c r="AW49" i="1"/>
  <c r="BC49" i="1"/>
  <c r="I48" i="1"/>
  <c r="I47" i="1"/>
  <c r="Z46" i="1"/>
  <c r="BH44" i="1"/>
  <c r="AW44" i="1"/>
  <c r="AL44" i="1"/>
  <c r="AU43" i="1"/>
  <c r="AL41" i="1"/>
  <c r="AU40" i="1"/>
  <c r="BH39" i="1"/>
  <c r="AD39" i="1"/>
  <c r="BI38" i="1"/>
  <c r="AG38" i="1"/>
  <c r="I38" i="1"/>
  <c r="K37" i="1"/>
  <c r="AL36" i="1"/>
  <c r="AU35" i="1"/>
  <c r="Z36" i="1"/>
  <c r="AX34" i="1"/>
  <c r="AV34" i="1"/>
  <c r="J34" i="1"/>
  <c r="J32" i="1"/>
  <c r="BI34" i="1"/>
  <c r="AE34" i="1"/>
  <c r="Z34" i="1"/>
  <c r="AJ33" i="1"/>
  <c r="AS32" i="1"/>
  <c r="AC33" i="1"/>
  <c r="I33" i="1"/>
  <c r="I32" i="1"/>
  <c r="K26" i="1"/>
  <c r="AL27" i="1"/>
  <c r="AH25" i="1"/>
  <c r="J24" i="1"/>
  <c r="AE22" i="1"/>
  <c r="BH21" i="1"/>
  <c r="AW21" i="1"/>
  <c r="AJ21" i="1"/>
  <c r="K20" i="1"/>
  <c r="AJ19" i="1"/>
  <c r="M29" i="1"/>
  <c r="AH21" i="1"/>
  <c r="BI15" i="1"/>
  <c r="AG15" i="1"/>
  <c r="BI13" i="1"/>
  <c r="AB61" i="1"/>
  <c r="BC34" i="1"/>
  <c r="AD61" i="1"/>
  <c r="AD18" i="1"/>
  <c r="AB18" i="1"/>
  <c r="AG13" i="1"/>
  <c r="AC13" i="1"/>
  <c r="AE13" i="1"/>
  <c r="AD21" i="1"/>
  <c r="AF21" i="1"/>
  <c r="AB21" i="1"/>
  <c r="AC38" i="1"/>
  <c r="AF44" i="1"/>
  <c r="AB44" i="1"/>
  <c r="AD44" i="1"/>
  <c r="AF49" i="1"/>
  <c r="AC41" i="1"/>
  <c r="AE41" i="1"/>
  <c r="AG46" i="1"/>
  <c r="AC46" i="1"/>
  <c r="AE46" i="1"/>
  <c r="AC59" i="1"/>
  <c r="AG59" i="1"/>
  <c r="AE59" i="1"/>
  <c r="AB25" i="1"/>
  <c r="AD25" i="1"/>
  <c r="AV30" i="1"/>
  <c r="AD53" i="1"/>
  <c r="AG17" i="1"/>
  <c r="AC17" i="1"/>
  <c r="AE17" i="1"/>
  <c r="I20" i="1"/>
  <c r="AC24" i="1"/>
  <c r="AE24" i="1"/>
  <c r="AG34" i="1"/>
  <c r="AC34" i="1"/>
  <c r="BC24" i="1"/>
  <c r="AD22" i="1"/>
  <c r="AF54" i="1"/>
  <c r="AB54" i="1"/>
  <c r="AD54" i="1"/>
  <c r="AE27" i="1"/>
  <c r="AG27" i="1"/>
  <c r="AC27" i="1"/>
  <c r="AD42" i="1"/>
  <c r="AC54" i="1"/>
  <c r="AD60" i="1"/>
  <c r="AG19" i="1"/>
  <c r="AC19" i="1"/>
  <c r="AB39" i="1"/>
  <c r="AF30" i="1"/>
  <c r="AB30" i="1"/>
  <c r="AD30" i="1"/>
  <c r="J58" i="1"/>
  <c r="AV59" i="1"/>
  <c r="BC59" i="1"/>
  <c r="AU58" i="1"/>
  <c r="AS58" i="1"/>
  <c r="BH59" i="1"/>
  <c r="AG60" i="1"/>
  <c r="AB60" i="1"/>
  <c r="I59" i="1"/>
  <c r="I58" i="1"/>
  <c r="J61" i="1"/>
  <c r="AV61" i="1"/>
  <c r="AC60" i="1"/>
  <c r="AX60" i="1"/>
  <c r="BC60" i="1"/>
  <c r="AK61" i="1"/>
  <c r="AT58" i="1"/>
  <c r="AJ61" i="1"/>
  <c r="BI61" i="1"/>
  <c r="AL60" i="1"/>
  <c r="AD57" i="1"/>
  <c r="AB57" i="1"/>
  <c r="AF57" i="1"/>
  <c r="BI57" i="1"/>
  <c r="I57" i="1"/>
  <c r="I56" i="1"/>
  <c r="AW57" i="1"/>
  <c r="BC52" i="1"/>
  <c r="AV52" i="1"/>
  <c r="BC51" i="1"/>
  <c r="AV51" i="1"/>
  <c r="BC55" i="1"/>
  <c r="AV55" i="1"/>
  <c r="AC52" i="1"/>
  <c r="AE52" i="1"/>
  <c r="AG52" i="1"/>
  <c r="AB55" i="1"/>
  <c r="AF55" i="1"/>
  <c r="AD55" i="1"/>
  <c r="AS47" i="1"/>
  <c r="BC48" i="1"/>
  <c r="BI48" i="1"/>
  <c r="J48" i="1"/>
  <c r="J47" i="1"/>
  <c r="AE50" i="1"/>
  <c r="AV54" i="1"/>
  <c r="AX53" i="1"/>
  <c r="BC53" i="1"/>
  <c r="BI51" i="1"/>
  <c r="AK49" i="1"/>
  <c r="AT47" i="1"/>
  <c r="AH51" i="1"/>
  <c r="AF51" i="1"/>
  <c r="AC53" i="1"/>
  <c r="BI55" i="1"/>
  <c r="AV49" i="1"/>
  <c r="AE54" i="1"/>
  <c r="AB53" i="1"/>
  <c r="AD49" i="1"/>
  <c r="AB48" i="1"/>
  <c r="AD51" i="1"/>
  <c r="K47" i="1"/>
  <c r="BH52" i="1"/>
  <c r="AG53" i="1"/>
  <c r="AL55" i="1"/>
  <c r="AU47" i="1"/>
  <c r="AL53" i="1"/>
  <c r="AL46" i="1"/>
  <c r="AU45" i="1"/>
  <c r="BH46" i="1"/>
  <c r="AW46" i="1"/>
  <c r="AK46" i="1"/>
  <c r="AT45" i="1"/>
  <c r="BC44" i="1"/>
  <c r="AH44" i="1"/>
  <c r="AX44" i="1"/>
  <c r="BI44" i="1"/>
  <c r="AV44" i="1"/>
  <c r="AF42" i="1"/>
  <c r="BI42" i="1"/>
  <c r="AU37" i="1"/>
  <c r="AF39" i="1"/>
  <c r="AV38" i="1"/>
  <c r="AE38" i="1"/>
  <c r="AH38" i="1"/>
  <c r="AW39" i="1"/>
  <c r="AH39" i="1"/>
  <c r="J36" i="1"/>
  <c r="J35" i="1"/>
  <c r="BI36" i="1"/>
  <c r="AF33" i="1"/>
  <c r="AB33" i="1"/>
  <c r="AD33" i="1"/>
  <c r="AW33" i="1"/>
  <c r="AH33" i="1"/>
  <c r="AB34" i="1"/>
  <c r="AD34" i="1"/>
  <c r="AD31" i="1"/>
  <c r="AB31" i="1"/>
  <c r="AF31" i="1"/>
  <c r="AX31" i="1"/>
  <c r="BC31" i="1"/>
  <c r="I31" i="1"/>
  <c r="I29" i="1"/>
  <c r="AH30" i="1"/>
  <c r="AG31" i="1"/>
  <c r="AL31" i="1"/>
  <c r="AU29" i="1"/>
  <c r="AX28" i="1"/>
  <c r="AW27" i="1"/>
  <c r="AH28" i="1"/>
  <c r="BI28" i="1"/>
  <c r="AL28" i="1"/>
  <c r="AU26" i="1"/>
  <c r="BH27" i="1"/>
  <c r="AV22" i="1"/>
  <c r="BC22" i="1"/>
  <c r="AV21" i="1"/>
  <c r="BC21" i="1"/>
  <c r="AB24" i="1"/>
  <c r="AD24" i="1"/>
  <c r="AF24" i="1"/>
  <c r="AS20" i="1"/>
  <c r="AC23" i="1"/>
  <c r="AB22" i="1"/>
  <c r="AG22" i="1"/>
  <c r="AG23" i="1"/>
  <c r="AH22" i="1"/>
  <c r="BI25" i="1"/>
  <c r="AJ24" i="1"/>
  <c r="AV25" i="1"/>
  <c r="AL23" i="1"/>
  <c r="AU20" i="1"/>
  <c r="AX25" i="1"/>
  <c r="BC25" i="1"/>
  <c r="AK23" i="1"/>
  <c r="AT20" i="1"/>
  <c r="AE18" i="1"/>
  <c r="AG18" i="1"/>
  <c r="AC18" i="1"/>
  <c r="AB17" i="1"/>
  <c r="AD17" i="1"/>
  <c r="AF17" i="1"/>
  <c r="BC15" i="1"/>
  <c r="AV15" i="1"/>
  <c r="J12" i="1"/>
  <c r="AE15" i="1"/>
  <c r="BH15" i="1"/>
  <c r="I17" i="1"/>
  <c r="BH16" i="1"/>
  <c r="AW16" i="1"/>
  <c r="AC15" i="1"/>
  <c r="K12" i="1"/>
  <c r="K62" i="1"/>
  <c r="AL17" i="1"/>
  <c r="AW17" i="1"/>
  <c r="BC18" i="1"/>
  <c r="BC19" i="1"/>
  <c r="AU12" i="1"/>
  <c r="I15" i="1"/>
  <c r="I12" i="1"/>
  <c r="AL15" i="1"/>
  <c r="AF19" i="1"/>
  <c r="AJ17" i="1"/>
  <c r="AB19" i="1"/>
  <c r="AF14" i="1"/>
  <c r="AJ15" i="1"/>
  <c r="AS12" i="1"/>
  <c r="AD14" i="1"/>
  <c r="AT12" i="1"/>
  <c r="BH13" i="1"/>
  <c r="AH13" i="1"/>
  <c r="AW13" i="1"/>
  <c r="AE61" i="1"/>
  <c r="AC61" i="1"/>
  <c r="AG61" i="1"/>
  <c r="AF59" i="1"/>
  <c r="AB59" i="1"/>
  <c r="AD59" i="1"/>
  <c r="AV60" i="1"/>
  <c r="AV57" i="1"/>
  <c r="BC57" i="1"/>
  <c r="AC57" i="1"/>
  <c r="AE57" i="1"/>
  <c r="AG57" i="1"/>
  <c r="AF52" i="1"/>
  <c r="AB52" i="1"/>
  <c r="AD52" i="1"/>
  <c r="AG55" i="1"/>
  <c r="AE55" i="1"/>
  <c r="AC55" i="1"/>
  <c r="AV53" i="1"/>
  <c r="AG51" i="1"/>
  <c r="AC51" i="1"/>
  <c r="AE51" i="1"/>
  <c r="AC48" i="1"/>
  <c r="AG48" i="1"/>
  <c r="AE48" i="1"/>
  <c r="BC46" i="1"/>
  <c r="AV46" i="1"/>
  <c r="AB46" i="1"/>
  <c r="AD46" i="1"/>
  <c r="AF46" i="1"/>
  <c r="AG44" i="1"/>
  <c r="AC44" i="1"/>
  <c r="AE44" i="1"/>
  <c r="AG42" i="1"/>
  <c r="AC42" i="1"/>
  <c r="AE42" i="1"/>
  <c r="BC39" i="1"/>
  <c r="AV39" i="1"/>
  <c r="AG36" i="1"/>
  <c r="AC36" i="1"/>
  <c r="AE36" i="1"/>
  <c r="BC33" i="1"/>
  <c r="AV33" i="1"/>
  <c r="AV31" i="1"/>
  <c r="AC28" i="1"/>
  <c r="AG28" i="1"/>
  <c r="AE28" i="1"/>
  <c r="AB27" i="1"/>
  <c r="AD27" i="1"/>
  <c r="AF27" i="1"/>
  <c r="BC27" i="1"/>
  <c r="AV27" i="1"/>
  <c r="AC25" i="1"/>
  <c r="AG25" i="1"/>
  <c r="AE25" i="1"/>
  <c r="F28" i="2"/>
  <c r="AV17" i="1"/>
  <c r="BC17" i="1"/>
  <c r="AF15" i="1"/>
  <c r="AD15" i="1"/>
  <c r="AB15" i="1"/>
  <c r="BC16" i="1"/>
  <c r="AV16" i="1"/>
  <c r="AF16" i="1"/>
  <c r="AD16" i="1"/>
  <c r="AB16" i="1"/>
  <c r="AV13" i="1"/>
  <c r="BC13" i="1"/>
  <c r="AF13" i="1"/>
  <c r="AB13" i="1"/>
  <c r="AD13" i="1"/>
  <c r="C22" i="2"/>
  <c r="I14" i="2"/>
  <c r="I22" i="2"/>
  <c r="F29" i="2"/>
  <c r="I28" i="2"/>
  <c r="I29" i="2"/>
  <c r="AV28" i="1"/>
  <c r="AF28" i="1"/>
  <c r="AB28" i="1"/>
</calcChain>
</file>

<file path=xl/sharedStrings.xml><?xml version="1.0" encoding="utf-8"?>
<sst xmlns="http://schemas.openxmlformats.org/spreadsheetml/2006/main" count="702" uniqueCount="256">
  <si>
    <t>Doba výstavby:</t>
  </si>
  <si>
    <t>Projektant</t>
  </si>
  <si>
    <t>Základ 15%</t>
  </si>
  <si>
    <t>Malby</t>
  </si>
  <si>
    <t>766670059RAA</t>
  </si>
  <si>
    <t>968071112R00</t>
  </si>
  <si>
    <t>Nemocnice Most ORL 7. patro I. etapa</t>
  </si>
  <si>
    <t>Základ 21%</t>
  </si>
  <si>
    <t>20</t>
  </si>
  <si>
    <t>Dodávka</t>
  </si>
  <si>
    <t>NUS celkem z obj.</t>
  </si>
  <si>
    <t>642942111RT4</t>
  </si>
  <si>
    <t>767581802R00</t>
  </si>
  <si>
    <t>Název stavby:</t>
  </si>
  <si>
    <t>Ostatní materiál</t>
  </si>
  <si>
    <t>29</t>
  </si>
  <si>
    <t>Č</t>
  </si>
  <si>
    <t>Různé dokončovací práce</t>
  </si>
  <si>
    <t>Poznámka:</t>
  </si>
  <si>
    <t>Lokalita:</t>
  </si>
  <si>
    <t>16</t>
  </si>
  <si>
    <t>PSV</t>
  </si>
  <si>
    <t>24</t>
  </si>
  <si>
    <t>Bez pevné podl.</t>
  </si>
  <si>
    <t>Celkem</t>
  </si>
  <si>
    <t>Zařízení staveniště</t>
  </si>
  <si>
    <t>Odstranění malby oškrábáním v místnosti H do 3,8 m - chodba</t>
  </si>
  <si>
    <t>766_</t>
  </si>
  <si>
    <t>4</t>
  </si>
  <si>
    <t>766670010RAA</t>
  </si>
  <si>
    <t>94</t>
  </si>
  <si>
    <t>Základní rozpočtové náklady</t>
  </si>
  <si>
    <t>26</t>
  </si>
  <si>
    <t>6_</t>
  </si>
  <si>
    <t>612425931RT2</t>
  </si>
  <si>
    <t>Celkem bez DPH</t>
  </si>
  <si>
    <t>Hmotnost (t)</t>
  </si>
  <si>
    <t>6</t>
  </si>
  <si>
    <t>Rozpočtové náklady v Kč</t>
  </si>
  <si>
    <t>B</t>
  </si>
  <si>
    <t>Náklady na umístění stavby (NUS)</t>
  </si>
  <si>
    <t>968071125R00</t>
  </si>
  <si>
    <t>Montáž</t>
  </si>
  <si>
    <t>Demontáž podhledů - lamel plechových</t>
  </si>
  <si>
    <t>Datum, razítko a podpis</t>
  </si>
  <si>
    <t>ZRN celkem</t>
  </si>
  <si>
    <t>968072455R00</t>
  </si>
  <si>
    <t>968072641R00</t>
  </si>
  <si>
    <t>Úprava vnitřních stěn vápenným štukem, tl. do 3mm - chodba</t>
  </si>
  <si>
    <t>33</t>
  </si>
  <si>
    <t>DPH 15%</t>
  </si>
  <si>
    <t>783_</t>
  </si>
  <si>
    <t>25</t>
  </si>
  <si>
    <t>kus</t>
  </si>
  <si>
    <t>Dodávky</t>
  </si>
  <si>
    <t>soustava</t>
  </si>
  <si>
    <t>Nátěr kovových doplňkových konstrukcí syntetický - základní šedý 2x</t>
  </si>
  <si>
    <t>Ostatní mat.</t>
  </si>
  <si>
    <t>Cenová</t>
  </si>
  <si>
    <t>HSV prac</t>
  </si>
  <si>
    <t>90_</t>
  </si>
  <si>
    <t>767_</t>
  </si>
  <si>
    <t>Osazení zárubní dveřních protipožárních ocelových, pl. do 2,5 m2, 900x1970x125mm</t>
  </si>
  <si>
    <t>13</t>
  </si>
  <si>
    <t>"M"</t>
  </si>
  <si>
    <t>Konstrukce doplňkové stavební (zámečnické)</t>
  </si>
  <si>
    <t>Krycí list rozpočtu</t>
  </si>
  <si>
    <t>Vyčištění budov o výšce podlaží do 4 m</t>
  </si>
  <si>
    <t>Cena/MJ</t>
  </si>
  <si>
    <t>Konec výstavby:</t>
  </si>
  <si>
    <t>622481113R00</t>
  </si>
  <si>
    <t>Hodinové zúčtovací sazby (HZS)</t>
  </si>
  <si>
    <t>Kód</t>
  </si>
  <si>
    <t>S</t>
  </si>
  <si>
    <t>Jednot.</t>
  </si>
  <si>
    <t>642942111RT5</t>
  </si>
  <si>
    <t>612471411R00</t>
  </si>
  <si>
    <t>MJ</t>
  </si>
  <si>
    <t>783801812R00</t>
  </si>
  <si>
    <t>979081121RT2</t>
  </si>
  <si>
    <t>9_</t>
  </si>
  <si>
    <t>Podhled minerální Armstrong, kazety 600x600mm</t>
  </si>
  <si>
    <t>Doplňkové náklady</t>
  </si>
  <si>
    <t>PSV prac</t>
  </si>
  <si>
    <t>HSV</t>
  </si>
  <si>
    <t>Vybourání kovových rámů oken jednod. pl. 1 m2</t>
  </si>
  <si>
    <t>781101210RT4</t>
  </si>
  <si>
    <t>9</t>
  </si>
  <si>
    <t>Okno plastové jednokřídlové 700x1000mm OS</t>
  </si>
  <si>
    <t>15</t>
  </si>
  <si>
    <t>Výplň prahů betonem C 20/25</t>
  </si>
  <si>
    <t>978059531R00</t>
  </si>
  <si>
    <t>95</t>
  </si>
  <si>
    <t>ISWORK</t>
  </si>
  <si>
    <t>Celkem včetně DPH</t>
  </si>
  <si>
    <t>Základ 0%</t>
  </si>
  <si>
    <t>S_</t>
  </si>
  <si>
    <t>766</t>
  </si>
  <si>
    <t>Přesuny sutí</t>
  </si>
  <si>
    <t>Mont prac</t>
  </si>
  <si>
    <t>783220010RAA</t>
  </si>
  <si>
    <t>Obklady (keramické)</t>
  </si>
  <si>
    <t>Příplatek k odvozu za každý další 1 km</t>
  </si>
  <si>
    <t>78_</t>
  </si>
  <si>
    <t>Omítka vápenocementová vnitřního ostění - štuková</t>
  </si>
  <si>
    <t>h</t>
  </si>
  <si>
    <t>23</t>
  </si>
  <si>
    <t>781_</t>
  </si>
  <si>
    <t>767</t>
  </si>
  <si>
    <t>HZS - elektrikář</t>
  </si>
  <si>
    <t>t</t>
  </si>
  <si>
    <t>612409991RT2</t>
  </si>
  <si>
    <t> </t>
  </si>
  <si>
    <t>Konstrukce truhlářské</t>
  </si>
  <si>
    <t>767586204RV3</t>
  </si>
  <si>
    <t>JKSO:</t>
  </si>
  <si>
    <t>64</t>
  </si>
  <si>
    <t>Poplatek za uložení suti - směs betonu, cihel, skupina odpadu 170904</t>
  </si>
  <si>
    <t>Osazení zárubní dveřních protipožárních ocelových, pl. do 2,5 m2, 800x1970x125mm</t>
  </si>
  <si>
    <t>DN celkem</t>
  </si>
  <si>
    <t>GROUPCODE</t>
  </si>
  <si>
    <t>Provozní vlivy</t>
  </si>
  <si>
    <t>5</t>
  </si>
  <si>
    <t>76_</t>
  </si>
  <si>
    <t>Stavební rozpočet</t>
  </si>
  <si>
    <t>Druh stavby:</t>
  </si>
  <si>
    <t>784</t>
  </si>
  <si>
    <t>96</t>
  </si>
  <si>
    <t>Vybourání kovových dveřních zárubní pl. do 2 m2</t>
  </si>
  <si>
    <t>Zpracováno dne:</t>
  </si>
  <si>
    <t>968072456R00</t>
  </si>
  <si>
    <t>783</t>
  </si>
  <si>
    <t>10</t>
  </si>
  <si>
    <t>36</t>
  </si>
  <si>
    <t>14</t>
  </si>
  <si>
    <t>31</t>
  </si>
  <si>
    <t>Vyvěšení kovových křídel oken pl. do 1,5 m2</t>
  </si>
  <si>
    <t>Množství</t>
  </si>
  <si>
    <t>Budovy občanské výstavby</t>
  </si>
  <si>
    <t>95_</t>
  </si>
  <si>
    <t>979990107R00</t>
  </si>
  <si>
    <t>Typ skupiny</t>
  </si>
  <si>
    <t>Přesun hmot pro budovy zděné výšky do 36 m s omezením mechanizace</t>
  </si>
  <si>
    <t>61_</t>
  </si>
  <si>
    <t>Hzs-nezměřitelne stavebni prace, výpomoce</t>
  </si>
  <si>
    <t>19</t>
  </si>
  <si>
    <t>C</t>
  </si>
  <si>
    <t>Náklady (Kč)</t>
  </si>
  <si>
    <t>30</t>
  </si>
  <si>
    <t>IČO/DIČ:</t>
  </si>
  <si>
    <t>H01</t>
  </si>
  <si>
    <t>Ostatní</t>
  </si>
  <si>
    <t>Zpracoval:</t>
  </si>
  <si>
    <t>Osazení zárubní dveřních protipožárních ocelových, pl. do 2,5 m2, 1100x1970x125mm</t>
  </si>
  <si>
    <t>64_</t>
  </si>
  <si>
    <t>Zhotovitel</t>
  </si>
  <si>
    <t>968072244R00</t>
  </si>
  <si>
    <t>610991111R00</t>
  </si>
  <si>
    <t>2</t>
  </si>
  <si>
    <t>Projektant:</t>
  </si>
  <si>
    <t>ORN celkem</t>
  </si>
  <si>
    <t/>
  </si>
  <si>
    <t>968061126R00</t>
  </si>
  <si>
    <t>17</t>
  </si>
  <si>
    <t>Lešení a stavební výtahy</t>
  </si>
  <si>
    <t>21</t>
  </si>
  <si>
    <t>642942111RU2</t>
  </si>
  <si>
    <t>979081111R00</t>
  </si>
  <si>
    <t>Úprava povrchů vnitřní</t>
  </si>
  <si>
    <t>Práce přesčas</t>
  </si>
  <si>
    <t>Penetrace vnitřních stěn - ostění, ručně</t>
  </si>
  <si>
    <t>61</t>
  </si>
  <si>
    <t>12</t>
  </si>
  <si>
    <t>Kulturní památka</t>
  </si>
  <si>
    <t>Objekt</t>
  </si>
  <si>
    <t>Bourání konstrukcí</t>
  </si>
  <si>
    <t>DPH 21%</t>
  </si>
  <si>
    <t>968061125R00</t>
  </si>
  <si>
    <t>998011004R00</t>
  </si>
  <si>
    <t>900      RT5</t>
  </si>
  <si>
    <t>_</t>
  </si>
  <si>
    <t>ORN celkem z obj.</t>
  </si>
  <si>
    <t>317318111R00</t>
  </si>
  <si>
    <t>Vybourání kovových stěn</t>
  </si>
  <si>
    <t>Přesuny</t>
  </si>
  <si>
    <t>MAT</t>
  </si>
  <si>
    <t>909      R00</t>
  </si>
  <si>
    <t>8</t>
  </si>
  <si>
    <t>Mimostav. doprava</t>
  </si>
  <si>
    <t>Nátěry</t>
  </si>
  <si>
    <t>18</t>
  </si>
  <si>
    <t>DN celkem z obj.</t>
  </si>
  <si>
    <t>Lešení lehké pomocné, výška podlahy do 1,9 m</t>
  </si>
  <si>
    <t>Vyvěšení kovových křídel dveří pl. do 2 m2</t>
  </si>
  <si>
    <t>781</t>
  </si>
  <si>
    <t>Osazení zárubní dveřních ocelových protipožárních, pl. do 2,5 m2, 600x1970x125mm</t>
  </si>
  <si>
    <t>m</t>
  </si>
  <si>
    <t>11</t>
  </si>
  <si>
    <t>32</t>
  </si>
  <si>
    <t>Objednatel:</t>
  </si>
  <si>
    <t>Vyvěšení dřevěných dveřních křídel pl. nad 2 m2</t>
  </si>
  <si>
    <t>PSV mat</t>
  </si>
  <si>
    <t>Vybourání kovových dveřních zárubní pl. nad 2 m2</t>
  </si>
  <si>
    <t>Potažení vnějších stěn sklotex. pletivem, vypnutí - chodba</t>
  </si>
  <si>
    <t>3</t>
  </si>
  <si>
    <t>Zakrývání výplní vnitřních otvorů a radiátorů</t>
  </si>
  <si>
    <t>Zhotovitel:</t>
  </si>
  <si>
    <t>96_</t>
  </si>
  <si>
    <t>952901111R00</t>
  </si>
  <si>
    <t>784_</t>
  </si>
  <si>
    <t>35</t>
  </si>
  <si>
    <t>Začátek výstavby:</t>
  </si>
  <si>
    <t>Odstranění nátěrů latexových z omítek stěn, oškrabáním - chodba</t>
  </si>
  <si>
    <t>781415016RU2</t>
  </si>
  <si>
    <t>A</t>
  </si>
  <si>
    <t>642942111RU6</t>
  </si>
  <si>
    <t>Mont mat</t>
  </si>
  <si>
    <t>Penetrace podkladu vnitřních stěn ručně - chodba</t>
  </si>
  <si>
    <t xml:space="preserve"> </t>
  </si>
  <si>
    <t>Odvoz suti a vybour. hmot na skládku do 1 km, složení</t>
  </si>
  <si>
    <t>Objednatel</t>
  </si>
  <si>
    <t>(Kč)</t>
  </si>
  <si>
    <t>22</t>
  </si>
  <si>
    <t>Územní vlivy</t>
  </si>
  <si>
    <t>Vyvěšení dřevěných dveřních křídel pl. do 2 m2</t>
  </si>
  <si>
    <t>Datum:</t>
  </si>
  <si>
    <t>27</t>
  </si>
  <si>
    <t>Most</t>
  </si>
  <si>
    <t>37</t>
  </si>
  <si>
    <t>m2</t>
  </si>
  <si>
    <t>Přesun hmot a sutí</t>
  </si>
  <si>
    <t>NUS z rozpočtu</t>
  </si>
  <si>
    <t>1</t>
  </si>
  <si>
    <t>784402801R00</t>
  </si>
  <si>
    <t>7</t>
  </si>
  <si>
    <t>Rozměry</t>
  </si>
  <si>
    <t>Výměna zárubní</t>
  </si>
  <si>
    <t>Položek:</t>
  </si>
  <si>
    <t>NUS celkem</t>
  </si>
  <si>
    <t>WORK</t>
  </si>
  <si>
    <t>Montáž obkladů stěn, porovin.,tmel, nad 20x25 cm</t>
  </si>
  <si>
    <t>H01_</t>
  </si>
  <si>
    <t>Výplně otvorů</t>
  </si>
  <si>
    <t>941955002R00</t>
  </si>
  <si>
    <t>HSV mat</t>
  </si>
  <si>
    <t>Začištění omítek po vybourání zárubní a stěn</t>
  </si>
  <si>
    <t>90</t>
  </si>
  <si>
    <t>Zkrácený popis</t>
  </si>
  <si>
    <t>28</t>
  </si>
  <si>
    <t>CELK</t>
  </si>
  <si>
    <t>94_</t>
  </si>
  <si>
    <t>34</t>
  </si>
  <si>
    <t>Odsekání vnitřních obkladů stěn nad 2 m2</t>
  </si>
  <si>
    <t>RTS I / 2024</t>
  </si>
  <si>
    <t>Celkem bez DPH:</t>
  </si>
  <si>
    <t>Stěna plastová prosklená,dveře 800x1970mm a nadsvětlíkem 2760x2390mm - 6.03 a 6.04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</si>
</sst>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8"/>
      <name val="Arial"/>
    </font>
    <font>
      <sz val="11"/>
      <name val="Calibri"/>
    </font>
    <font>
      <sz val="12"/>
      <color rgb="FF000000"/>
      <name val="Arial"/>
      <charset val="238"/>
    </font>
    <font>
      <b/>
      <sz val="12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20"/>
      <color rgb="FF000000"/>
      <name val="Arial"/>
      <charset val="238"/>
    </font>
    <font>
      <sz val="18"/>
      <color rgb="FF000000"/>
      <name val="Arial"/>
      <charset val="238"/>
    </font>
    <font>
      <b/>
      <sz val="18"/>
      <color rgb="FF000000"/>
      <name val="Arial"/>
      <charset val="238"/>
    </font>
    <font>
      <b/>
      <sz val="11"/>
      <color rgb="FF000000"/>
      <name val="Arial"/>
      <charset val="238"/>
    </font>
    <font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12">
    <xf numFmtId="0" fontId="1" fillId="0" borderId="0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lef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4" fillId="0" borderId="12" xfId="0" applyNumberFormat="1" applyFont="1" applyFill="1" applyBorder="1" applyAlignment="1" applyProtection="1">
      <alignment horizontal="lef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4" fontId="2" fillId="0" borderId="12" xfId="0" applyNumberFormat="1" applyFont="1" applyFill="1" applyBorder="1" applyAlignment="1" applyProtection="1">
      <alignment horizontal="right" vertical="center"/>
    </xf>
    <xf numFmtId="4" fontId="5" fillId="2" borderId="0" xfId="0" applyNumberFormat="1" applyFont="1" applyFill="1" applyBorder="1" applyAlignment="1" applyProtection="1">
      <alignment horizontal="right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horizontal="righ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4" fontId="3" fillId="2" borderId="10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7" fillId="2" borderId="20" xfId="0" applyNumberFormat="1" applyFont="1" applyFill="1" applyBorder="1" applyAlignment="1" applyProtection="1">
      <alignment horizontal="center" vertical="center"/>
    </xf>
    <xf numFmtId="0" fontId="7" fillId="2" borderId="1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17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0" borderId="21" xfId="0" applyNumberFormat="1" applyFont="1" applyFill="1" applyBorder="1" applyAlignment="1" applyProtection="1">
      <alignment horizontal="left" vertical="center"/>
    </xf>
    <xf numFmtId="0" fontId="5" fillId="0" borderId="22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left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4" fillId="3" borderId="2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4" fontId="4" fillId="0" borderId="4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0" borderId="12" xfId="0" applyNumberFormat="1" applyFont="1" applyFill="1" applyBorder="1" applyAlignment="1" applyProtection="1">
      <alignment horizontal="left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5" fillId="0" borderId="19" xfId="0" applyNumberFormat="1" applyFont="1" applyFill="1" applyBorder="1" applyAlignment="1" applyProtection="1">
      <alignment horizontal="left" vertical="center"/>
    </xf>
    <xf numFmtId="0" fontId="5" fillId="0" borderId="17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3" fillId="2" borderId="35" xfId="0" applyNumberFormat="1" applyFont="1" applyFill="1" applyBorder="1" applyAlignment="1" applyProtection="1">
      <alignment horizontal="left" vertical="center"/>
    </xf>
    <xf numFmtId="0" fontId="3" fillId="2" borderId="34" xfId="0" applyNumberFormat="1" applyFont="1" applyFill="1" applyBorder="1" applyAlignment="1" applyProtection="1">
      <alignment horizontal="left" vertical="center"/>
    </xf>
    <xf numFmtId="0" fontId="3" fillId="2" borderId="31" xfId="0" applyNumberFormat="1" applyFont="1" applyFill="1" applyBorder="1" applyAlignment="1" applyProtection="1">
      <alignment horizontal="left" vertical="center"/>
    </xf>
    <xf numFmtId="0" fontId="3" fillId="2" borderId="32" xfId="0" applyNumberFormat="1" applyFont="1" applyFill="1" applyBorder="1" applyAlignment="1" applyProtection="1">
      <alignment horizontal="left" vertical="center"/>
    </xf>
    <xf numFmtId="0" fontId="2" fillId="0" borderId="32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0" fontId="3" fillId="0" borderId="3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32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31" xfId="0" applyNumberFormat="1" applyFont="1" applyFill="1" applyBorder="1" applyAlignment="1" applyProtection="1">
      <alignment horizontal="left" vertical="center"/>
    </xf>
    <xf numFmtId="0" fontId="10" fillId="0" borderId="34" xfId="0" applyNumberFormat="1" applyFont="1" applyFill="1" applyBorder="1" applyAlignment="1" applyProtection="1">
      <alignment horizontal="left" vertical="center"/>
    </xf>
    <xf numFmtId="0" fontId="10" fillId="0" borderId="10" xfId="0" applyNumberFormat="1" applyFont="1" applyFill="1" applyBorder="1" applyAlignment="1" applyProtection="1">
      <alignment horizontal="left" vertical="center"/>
    </xf>
    <xf numFmtId="0" fontId="3" fillId="0" borderId="3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0" fontId="3" fillId="0" borderId="35" xfId="0" applyNumberFormat="1" applyFont="1" applyFill="1" applyBorder="1" applyAlignment="1" applyProtection="1">
      <alignment horizontal="left" vertical="center"/>
    </xf>
    <xf numFmtId="0" fontId="4" fillId="0" borderId="33" xfId="0" applyNumberFormat="1" applyFont="1" applyFill="1" applyBorder="1" applyAlignment="1" applyProtection="1">
      <alignment horizontal="lef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1" fontId="4" fillId="0" borderId="15" xfId="0" applyNumberFormat="1" applyFont="1" applyFill="1" applyBorder="1" applyAlignment="1" applyProtection="1">
      <alignment horizontal="left" vertical="center"/>
    </xf>
    <xf numFmtId="14" fontId="4" fillId="0" borderId="15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29" xfId="0" applyNumberFormat="1" applyFont="1" applyFill="1" applyBorder="1" applyAlignment="1" applyProtection="1">
      <alignment horizontal="left" vertical="center" wrapText="1"/>
    </xf>
    <xf numFmtId="0" fontId="4" fillId="0" borderId="29" xfId="0" applyNumberFormat="1" applyFont="1" applyFill="1" applyBorder="1" applyAlignment="1" applyProtection="1">
      <alignment horizontal="left" vertical="center"/>
    </xf>
    <xf numFmtId="0" fontId="4" fillId="0" borderId="32" xfId="0" applyNumberFormat="1" applyFont="1" applyFill="1" applyBorder="1" applyAlignment="1" applyProtection="1">
      <alignment horizontal="left" vertical="center"/>
    </xf>
    <xf numFmtId="0" fontId="5" fillId="0" borderId="29" xfId="0" applyNumberFormat="1" applyFont="1" applyFill="1" applyBorder="1" applyAlignment="1" applyProtection="1">
      <alignment horizontal="left" vertical="center" wrapText="1"/>
    </xf>
    <xf numFmtId="0" fontId="5" fillId="0" borderId="29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28" xfId="0" applyNumberFormat="1" applyFont="1" applyFill="1" applyBorder="1" applyAlignment="1" applyProtection="1">
      <alignment horizontal="left" vertical="center" wrapText="1"/>
    </xf>
    <xf numFmtId="0" fontId="4" fillId="0" borderId="30" xfId="0" applyNumberFormat="1" applyFont="1" applyFill="1" applyBorder="1" applyAlignment="1" applyProtection="1">
      <alignment horizontal="left" vertical="center"/>
    </xf>
    <xf numFmtId="0" fontId="4" fillId="0" borderId="30" xfId="0" applyNumberFormat="1" applyFont="1" applyFill="1" applyBorder="1" applyAlignment="1" applyProtection="1">
      <alignment horizontal="left" vertical="center" wrapText="1"/>
    </xf>
    <xf numFmtId="0" fontId="4" fillId="0" borderId="31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400050</xdr:colOff>
      <xdr:row>0</xdr:row>
      <xdr:rowOff>666750</xdr:rowOff>
    </xdr:to>
    <xdr:pic>
      <xdr:nvPicPr>
        <xdr:cNvPr id="1034" name="Picture 2">
          <a:extLst>
            <a:ext uri="{FF2B5EF4-FFF2-40B4-BE49-F238E27FC236}">
              <a16:creationId xmlns:a16="http://schemas.microsoft.com/office/drawing/2014/main" id="{3145F7E3-9B66-01C9-39A2-CCB179FE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57150</xdr:colOff>
      <xdr:row>0</xdr:row>
      <xdr:rowOff>666750</xdr:rowOff>
    </xdr:to>
    <xdr:pic>
      <xdr:nvPicPr>
        <xdr:cNvPr id="2053" name="Picture 4">
          <a:extLst>
            <a:ext uri="{FF2B5EF4-FFF2-40B4-BE49-F238E27FC236}">
              <a16:creationId xmlns:a16="http://schemas.microsoft.com/office/drawing/2014/main" id="{A0D0E766-9B0D-1D97-C62B-DE971A6C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BV62"/>
  <sheetViews>
    <sheetView tabSelected="1" showOutlineSymbols="0" topLeftCell="B1" zoomScale="70" zoomScaleNormal="70" workbookViewId="0">
      <pane ySplit="11" topLeftCell="A12" activePane="bottomLeft" state="frozenSplit"/>
      <selection activeCell="A64" sqref="A64:N64"/>
      <selection pane="bottomLeft" activeCell="D28" sqref="D28:E28"/>
    </sheetView>
  </sheetViews>
  <sheetFormatPr defaultColWidth="14.109375" defaultRowHeight="15" customHeight="1" x14ac:dyDescent="0.35"/>
  <cols>
    <col min="1" max="1" width="4.6640625" customWidth="1"/>
    <col min="2" max="2" width="8.77734375" customWidth="1"/>
    <col min="3" max="3" width="20.77734375" customWidth="1"/>
    <col min="4" max="4" width="1.6640625" customWidth="1"/>
    <col min="5" max="5" width="82" customWidth="1"/>
    <col min="6" max="6" width="5" customWidth="1"/>
    <col min="7" max="7" width="15" customWidth="1"/>
    <col min="8" max="8" width="14" customWidth="1"/>
    <col min="9" max="11" width="18.33203125" customWidth="1"/>
    <col min="12" max="14" width="13.6640625" customWidth="1"/>
    <col min="25" max="74" width="14.109375" hidden="1" customWidth="1"/>
  </cols>
  <sheetData>
    <row r="1" spans="1:64" ht="54.75" customHeight="1" thickBot="1" x14ac:dyDescent="0.4">
      <c r="A1" s="65" t="s">
        <v>124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64" ht="15" customHeight="1" x14ac:dyDescent="0.35">
      <c r="A2" s="66" t="s">
        <v>13</v>
      </c>
      <c r="B2" s="56"/>
      <c r="C2" s="56"/>
      <c r="D2" s="62" t="s">
        <v>6</v>
      </c>
      <c r="E2" s="63"/>
      <c r="F2" s="56" t="s">
        <v>0</v>
      </c>
      <c r="G2" s="56"/>
      <c r="H2" s="56" t="s">
        <v>218</v>
      </c>
      <c r="I2" s="69" t="s">
        <v>199</v>
      </c>
      <c r="J2" s="56" t="s">
        <v>112</v>
      </c>
      <c r="K2" s="56"/>
      <c r="L2" s="56"/>
      <c r="M2" s="56"/>
      <c r="N2" s="57"/>
    </row>
    <row r="3" spans="1:64" ht="15" customHeight="1" x14ac:dyDescent="0.35">
      <c r="A3" s="67"/>
      <c r="B3" s="46"/>
      <c r="C3" s="46"/>
      <c r="D3" s="49"/>
      <c r="E3" s="49"/>
      <c r="F3" s="46"/>
      <c r="G3" s="46"/>
      <c r="H3" s="46"/>
      <c r="I3" s="46"/>
      <c r="J3" s="46"/>
      <c r="K3" s="46"/>
      <c r="L3" s="46"/>
      <c r="M3" s="46"/>
      <c r="N3" s="58"/>
    </row>
    <row r="4" spans="1:64" ht="15" customHeight="1" x14ac:dyDescent="0.35">
      <c r="A4" s="68" t="s">
        <v>125</v>
      </c>
      <c r="B4" s="46"/>
      <c r="C4" s="46"/>
      <c r="D4" s="61" t="s">
        <v>236</v>
      </c>
      <c r="E4" s="46"/>
      <c r="F4" s="46" t="s">
        <v>211</v>
      </c>
      <c r="G4" s="46"/>
      <c r="H4" s="46" t="s">
        <v>218</v>
      </c>
      <c r="I4" s="61" t="s">
        <v>159</v>
      </c>
      <c r="J4" s="46" t="s">
        <v>112</v>
      </c>
      <c r="K4" s="46"/>
      <c r="L4" s="46"/>
      <c r="M4" s="46"/>
      <c r="N4" s="58"/>
    </row>
    <row r="5" spans="1:64" ht="15" customHeight="1" x14ac:dyDescent="0.35">
      <c r="A5" s="67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58"/>
    </row>
    <row r="6" spans="1:64" ht="15" customHeight="1" x14ac:dyDescent="0.35">
      <c r="A6" s="68" t="s">
        <v>19</v>
      </c>
      <c r="B6" s="46"/>
      <c r="C6" s="46"/>
      <c r="D6" s="61" t="s">
        <v>227</v>
      </c>
      <c r="E6" s="46"/>
      <c r="F6" s="46" t="s">
        <v>69</v>
      </c>
      <c r="G6" s="46"/>
      <c r="H6" s="46" t="s">
        <v>218</v>
      </c>
      <c r="I6" s="61" t="s">
        <v>206</v>
      </c>
      <c r="J6" s="46" t="s">
        <v>112</v>
      </c>
      <c r="K6" s="46"/>
      <c r="L6" s="46"/>
      <c r="M6" s="46"/>
      <c r="N6" s="58"/>
    </row>
    <row r="7" spans="1:64" ht="15" customHeight="1" x14ac:dyDescent="0.35">
      <c r="A7" s="67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58"/>
    </row>
    <row r="8" spans="1:64" ht="15" customHeight="1" x14ac:dyDescent="0.35">
      <c r="A8" s="68" t="s">
        <v>115</v>
      </c>
      <c r="B8" s="46"/>
      <c r="C8" s="46"/>
      <c r="D8" s="61" t="s">
        <v>218</v>
      </c>
      <c r="E8" s="46"/>
      <c r="F8" s="46" t="s">
        <v>129</v>
      </c>
      <c r="G8" s="46"/>
      <c r="H8" s="64">
        <v>45320</v>
      </c>
      <c r="I8" s="61" t="s">
        <v>152</v>
      </c>
      <c r="J8" s="46" t="s">
        <v>112</v>
      </c>
      <c r="K8" s="46"/>
      <c r="L8" s="46"/>
      <c r="M8" s="46"/>
      <c r="N8" s="58"/>
    </row>
    <row r="9" spans="1:64" ht="15" customHeight="1" thickBot="1" x14ac:dyDescent="0.4">
      <c r="A9" s="67"/>
      <c r="B9" s="46"/>
      <c r="C9" s="46"/>
      <c r="D9" s="46"/>
      <c r="E9" s="46"/>
      <c r="F9" s="46"/>
      <c r="G9" s="46"/>
      <c r="H9" s="64"/>
      <c r="I9" s="46"/>
      <c r="J9" s="46"/>
      <c r="K9" s="46"/>
      <c r="L9" s="46"/>
      <c r="M9" s="46"/>
      <c r="N9" s="58"/>
    </row>
    <row r="10" spans="1:64" ht="15" customHeight="1" x14ac:dyDescent="0.35">
      <c r="A10" s="32" t="s">
        <v>16</v>
      </c>
      <c r="B10" s="30" t="s">
        <v>174</v>
      </c>
      <c r="C10" s="30" t="s">
        <v>72</v>
      </c>
      <c r="D10" s="59" t="s">
        <v>247</v>
      </c>
      <c r="E10" s="60"/>
      <c r="F10" s="30" t="s">
        <v>77</v>
      </c>
      <c r="G10" s="19" t="s">
        <v>137</v>
      </c>
      <c r="H10" s="23" t="s">
        <v>68</v>
      </c>
      <c r="I10" s="53" t="s">
        <v>147</v>
      </c>
      <c r="J10" s="54"/>
      <c r="K10" s="55"/>
      <c r="L10" s="54" t="s">
        <v>36</v>
      </c>
      <c r="M10" s="54"/>
      <c r="N10" s="33" t="s">
        <v>58</v>
      </c>
      <c r="BK10" s="9" t="s">
        <v>93</v>
      </c>
      <c r="BL10" s="18" t="s">
        <v>120</v>
      </c>
    </row>
    <row r="11" spans="1:64" ht="15" customHeight="1" thickBot="1" x14ac:dyDescent="0.4">
      <c r="A11" s="34" t="s">
        <v>218</v>
      </c>
      <c r="B11" s="4" t="s">
        <v>218</v>
      </c>
      <c r="C11" s="4" t="s">
        <v>218</v>
      </c>
      <c r="D11" s="51" t="s">
        <v>235</v>
      </c>
      <c r="E11" s="52"/>
      <c r="F11" s="4" t="s">
        <v>218</v>
      </c>
      <c r="G11" s="4" t="s">
        <v>218</v>
      </c>
      <c r="H11" s="8" t="s">
        <v>221</v>
      </c>
      <c r="I11" s="22" t="s">
        <v>9</v>
      </c>
      <c r="J11" s="24" t="s">
        <v>42</v>
      </c>
      <c r="K11" s="12" t="s">
        <v>24</v>
      </c>
      <c r="L11" s="24" t="s">
        <v>74</v>
      </c>
      <c r="M11" s="8" t="s">
        <v>24</v>
      </c>
      <c r="N11" s="35" t="s">
        <v>55</v>
      </c>
      <c r="Z11" s="9" t="s">
        <v>184</v>
      </c>
      <c r="AA11" s="9" t="s">
        <v>141</v>
      </c>
      <c r="AB11" s="9" t="s">
        <v>244</v>
      </c>
      <c r="AC11" s="9" t="s">
        <v>59</v>
      </c>
      <c r="AD11" s="9" t="s">
        <v>201</v>
      </c>
      <c r="AE11" s="9" t="s">
        <v>83</v>
      </c>
      <c r="AF11" s="9" t="s">
        <v>216</v>
      </c>
      <c r="AG11" s="9" t="s">
        <v>99</v>
      </c>
      <c r="AH11" s="9" t="s">
        <v>57</v>
      </c>
      <c r="BH11" s="9" t="s">
        <v>185</v>
      </c>
      <c r="BI11" s="9" t="s">
        <v>239</v>
      </c>
      <c r="BJ11" s="9" t="s">
        <v>249</v>
      </c>
    </row>
    <row r="12" spans="1:64" ht="15" customHeight="1" x14ac:dyDescent="0.35">
      <c r="A12" s="36" t="s">
        <v>161</v>
      </c>
      <c r="B12" s="31" t="s">
        <v>161</v>
      </c>
      <c r="C12" s="31" t="s">
        <v>171</v>
      </c>
      <c r="D12" s="47" t="s">
        <v>168</v>
      </c>
      <c r="E12" s="47"/>
      <c r="F12" s="26" t="s">
        <v>218</v>
      </c>
      <c r="G12" s="26" t="s">
        <v>218</v>
      </c>
      <c r="H12" s="26" t="s">
        <v>218</v>
      </c>
      <c r="I12" s="11">
        <f>SUM(I13:I19)</f>
        <v>0</v>
      </c>
      <c r="J12" s="11">
        <f>SUM(J13:J19)</f>
        <v>0</v>
      </c>
      <c r="K12" s="11">
        <f>SUM(K13:K19)</f>
        <v>0</v>
      </c>
      <c r="L12" s="9" t="s">
        <v>161</v>
      </c>
      <c r="M12" s="11">
        <f>SUM(M13:M19)</f>
        <v>2.1454540999999998</v>
      </c>
      <c r="N12" s="37" t="s">
        <v>161</v>
      </c>
      <c r="AI12" s="9" t="s">
        <v>161</v>
      </c>
      <c r="AS12" s="11">
        <f>SUM(AJ13:AJ19)</f>
        <v>0</v>
      </c>
      <c r="AT12" s="11">
        <f>SUM(AK13:AK19)</f>
        <v>0</v>
      </c>
      <c r="AU12" s="11">
        <f>SUM(AL13:AL19)</f>
        <v>0</v>
      </c>
    </row>
    <row r="13" spans="1:64" ht="15" customHeight="1" x14ac:dyDescent="0.35">
      <c r="A13" s="38" t="s">
        <v>232</v>
      </c>
      <c r="B13" s="29" t="s">
        <v>161</v>
      </c>
      <c r="C13" s="29" t="s">
        <v>111</v>
      </c>
      <c r="D13" s="46" t="s">
        <v>245</v>
      </c>
      <c r="E13" s="46"/>
      <c r="F13" s="29" t="s">
        <v>196</v>
      </c>
      <c r="G13" s="7">
        <v>105.3</v>
      </c>
      <c r="H13" s="7">
        <v>0</v>
      </c>
      <c r="I13" s="7">
        <f t="shared" ref="I13:I19" si="0">G13*AO13</f>
        <v>0</v>
      </c>
      <c r="J13" s="7">
        <f t="shared" ref="J13:J19" si="1">G13*AP13</f>
        <v>0</v>
      </c>
      <c r="K13" s="7">
        <f t="shared" ref="K13:K19" si="2">G13*H13</f>
        <v>0</v>
      </c>
      <c r="L13" s="7">
        <v>2.3800000000000002E-3</v>
      </c>
      <c r="M13" s="7">
        <f t="shared" ref="M13:M19" si="3">G13*L13</f>
        <v>0.250614</v>
      </c>
      <c r="N13" s="39" t="s">
        <v>253</v>
      </c>
      <c r="Z13" s="7">
        <f t="shared" ref="Z13:Z19" si="4">IF(AQ13="5",BJ13,0)</f>
        <v>0</v>
      </c>
      <c r="AB13" s="7">
        <f t="shared" ref="AB13:AB19" si="5">IF(AQ13="1",BH13,0)</f>
        <v>0</v>
      </c>
      <c r="AC13" s="7">
        <f t="shared" ref="AC13:AC19" si="6">IF(AQ13="1",BI13,0)</f>
        <v>0</v>
      </c>
      <c r="AD13" s="7">
        <f t="shared" ref="AD13:AD19" si="7">IF(AQ13="7",BH13,0)</f>
        <v>0</v>
      </c>
      <c r="AE13" s="7">
        <f t="shared" ref="AE13:AE19" si="8">IF(AQ13="7",BI13,0)</f>
        <v>0</v>
      </c>
      <c r="AF13" s="7">
        <f t="shared" ref="AF13:AF19" si="9">IF(AQ13="2",BH13,0)</f>
        <v>0</v>
      </c>
      <c r="AG13" s="7">
        <f t="shared" ref="AG13:AG19" si="10">IF(AQ13="2",BI13,0)</f>
        <v>0</v>
      </c>
      <c r="AH13" s="7">
        <f t="shared" ref="AH13:AH19" si="11">IF(AQ13="0",BJ13,0)</f>
        <v>0</v>
      </c>
      <c r="AI13" s="9" t="s">
        <v>161</v>
      </c>
      <c r="AJ13" s="7">
        <f t="shared" ref="AJ13:AJ19" si="12">IF(AN13=0,K13,0)</f>
        <v>0</v>
      </c>
      <c r="AK13" s="7">
        <f t="shared" ref="AK13:AK19" si="13">IF(AN13=15,K13,0)</f>
        <v>0</v>
      </c>
      <c r="AL13" s="7">
        <f t="shared" ref="AL13:AL19" si="14">IF(AN13=21,K13,0)</f>
        <v>0</v>
      </c>
      <c r="AN13" s="7">
        <v>21</v>
      </c>
      <c r="AO13" s="7">
        <f>H13*0.21084142394822</f>
        <v>0</v>
      </c>
      <c r="AP13" s="7">
        <f>H13*(1-0.21084142394822)</f>
        <v>0</v>
      </c>
      <c r="AQ13" s="6" t="s">
        <v>232</v>
      </c>
      <c r="AV13" s="7">
        <f t="shared" ref="AV13:AV19" si="15">AW13+AX13</f>
        <v>0</v>
      </c>
      <c r="AW13" s="7">
        <f t="shared" ref="AW13:AW19" si="16">G13*AO13</f>
        <v>0</v>
      </c>
      <c r="AX13" s="7">
        <f t="shared" ref="AX13:AX19" si="17">G13*AP13</f>
        <v>0</v>
      </c>
      <c r="AY13" s="6" t="s">
        <v>143</v>
      </c>
      <c r="AZ13" s="6" t="s">
        <v>33</v>
      </c>
      <c r="BA13" s="9" t="s">
        <v>180</v>
      </c>
      <c r="BC13" s="7">
        <f t="shared" ref="BC13:BC19" si="18">AW13+AX13</f>
        <v>0</v>
      </c>
      <c r="BD13" s="7">
        <f t="shared" ref="BD13:BD19" si="19">H13/(100-BE13)*100</f>
        <v>0</v>
      </c>
      <c r="BE13" s="7">
        <v>0</v>
      </c>
      <c r="BF13" s="7">
        <f t="shared" ref="BF13:BF19" si="20">M13</f>
        <v>0.250614</v>
      </c>
      <c r="BH13" s="7">
        <f t="shared" ref="BH13:BH19" si="21">G13*AO13</f>
        <v>0</v>
      </c>
      <c r="BI13" s="7">
        <f t="shared" ref="BI13:BI19" si="22">G13*AP13</f>
        <v>0</v>
      </c>
      <c r="BJ13" s="7">
        <f t="shared" ref="BJ13:BJ19" si="23">G13*H13</f>
        <v>0</v>
      </c>
      <c r="BK13" s="7"/>
      <c r="BL13" s="7">
        <v>61</v>
      </c>
    </row>
    <row r="14" spans="1:64" ht="15" customHeight="1" x14ac:dyDescent="0.35">
      <c r="A14" s="38" t="s">
        <v>158</v>
      </c>
      <c r="B14" s="29" t="s">
        <v>161</v>
      </c>
      <c r="C14" s="29" t="s">
        <v>34</v>
      </c>
      <c r="D14" s="46" t="s">
        <v>104</v>
      </c>
      <c r="E14" s="46"/>
      <c r="F14" s="29" t="s">
        <v>229</v>
      </c>
      <c r="G14" s="7">
        <v>31.59</v>
      </c>
      <c r="H14" s="7">
        <v>0</v>
      </c>
      <c r="I14" s="7">
        <f t="shared" si="0"/>
        <v>0</v>
      </c>
      <c r="J14" s="7">
        <f t="shared" si="1"/>
        <v>0</v>
      </c>
      <c r="K14" s="7">
        <f t="shared" si="2"/>
        <v>0</v>
      </c>
      <c r="L14" s="7">
        <v>3.4909999999999997E-2</v>
      </c>
      <c r="M14" s="7">
        <f t="shared" si="3"/>
        <v>1.1028068999999998</v>
      </c>
      <c r="N14" s="39" t="s">
        <v>253</v>
      </c>
      <c r="Z14" s="7">
        <f t="shared" si="4"/>
        <v>0</v>
      </c>
      <c r="AB14" s="7">
        <f t="shared" si="5"/>
        <v>0</v>
      </c>
      <c r="AC14" s="7">
        <f t="shared" si="6"/>
        <v>0</v>
      </c>
      <c r="AD14" s="7">
        <f t="shared" si="7"/>
        <v>0</v>
      </c>
      <c r="AE14" s="7">
        <f t="shared" si="8"/>
        <v>0</v>
      </c>
      <c r="AF14" s="7">
        <f t="shared" si="9"/>
        <v>0</v>
      </c>
      <c r="AG14" s="7">
        <f t="shared" si="10"/>
        <v>0</v>
      </c>
      <c r="AH14" s="7">
        <f t="shared" si="11"/>
        <v>0</v>
      </c>
      <c r="AI14" s="9" t="s">
        <v>161</v>
      </c>
      <c r="AJ14" s="7">
        <f t="shared" si="12"/>
        <v>0</v>
      </c>
      <c r="AK14" s="7">
        <f t="shared" si="13"/>
        <v>0</v>
      </c>
      <c r="AL14" s="7">
        <f t="shared" si="14"/>
        <v>0</v>
      </c>
      <c r="AN14" s="7">
        <v>21</v>
      </c>
      <c r="AO14" s="7">
        <f>H14*0.31112895202413</f>
        <v>0</v>
      </c>
      <c r="AP14" s="7">
        <f>H14*(1-0.31112895202413)</f>
        <v>0</v>
      </c>
      <c r="AQ14" s="6" t="s">
        <v>232</v>
      </c>
      <c r="AV14" s="7">
        <f t="shared" si="15"/>
        <v>0</v>
      </c>
      <c r="AW14" s="7">
        <f t="shared" si="16"/>
        <v>0</v>
      </c>
      <c r="AX14" s="7">
        <f t="shared" si="17"/>
        <v>0</v>
      </c>
      <c r="AY14" s="6" t="s">
        <v>143</v>
      </c>
      <c r="AZ14" s="6" t="s">
        <v>33</v>
      </c>
      <c r="BA14" s="9" t="s">
        <v>180</v>
      </c>
      <c r="BC14" s="7">
        <f t="shared" si="18"/>
        <v>0</v>
      </c>
      <c r="BD14" s="7">
        <f t="shared" si="19"/>
        <v>0</v>
      </c>
      <c r="BE14" s="7">
        <v>0</v>
      </c>
      <c r="BF14" s="7">
        <f t="shared" si="20"/>
        <v>1.1028068999999998</v>
      </c>
      <c r="BH14" s="7">
        <f t="shared" si="21"/>
        <v>0</v>
      </c>
      <c r="BI14" s="7">
        <f t="shared" si="22"/>
        <v>0</v>
      </c>
      <c r="BJ14" s="7">
        <f t="shared" si="23"/>
        <v>0</v>
      </c>
      <c r="BK14" s="7"/>
      <c r="BL14" s="7">
        <v>61</v>
      </c>
    </row>
    <row r="15" spans="1:64" ht="15" customHeight="1" x14ac:dyDescent="0.35">
      <c r="A15" s="38" t="s">
        <v>204</v>
      </c>
      <c r="B15" s="29" t="s">
        <v>161</v>
      </c>
      <c r="C15" s="29" t="s">
        <v>157</v>
      </c>
      <c r="D15" s="46" t="s">
        <v>205</v>
      </c>
      <c r="E15" s="46"/>
      <c r="F15" s="29" t="s">
        <v>229</v>
      </c>
      <c r="G15" s="7">
        <v>86</v>
      </c>
      <c r="H15" s="7">
        <v>0</v>
      </c>
      <c r="I15" s="7">
        <f t="shared" si="0"/>
        <v>0</v>
      </c>
      <c r="J15" s="7">
        <f t="shared" si="1"/>
        <v>0</v>
      </c>
      <c r="K15" s="7">
        <f t="shared" si="2"/>
        <v>0</v>
      </c>
      <c r="L15" s="7">
        <v>4.0000000000000003E-5</v>
      </c>
      <c r="M15" s="7">
        <f t="shared" si="3"/>
        <v>3.4400000000000003E-3</v>
      </c>
      <c r="N15" s="39" t="s">
        <v>253</v>
      </c>
      <c r="Z15" s="7">
        <f t="shared" si="4"/>
        <v>0</v>
      </c>
      <c r="AB15" s="7">
        <f t="shared" si="5"/>
        <v>0</v>
      </c>
      <c r="AC15" s="7">
        <f t="shared" si="6"/>
        <v>0</v>
      </c>
      <c r="AD15" s="7">
        <f t="shared" si="7"/>
        <v>0</v>
      </c>
      <c r="AE15" s="7">
        <f t="shared" si="8"/>
        <v>0</v>
      </c>
      <c r="AF15" s="7">
        <f t="shared" si="9"/>
        <v>0</v>
      </c>
      <c r="AG15" s="7">
        <f t="shared" si="10"/>
        <v>0</v>
      </c>
      <c r="AH15" s="7">
        <f t="shared" si="11"/>
        <v>0</v>
      </c>
      <c r="AI15" s="9" t="s">
        <v>161</v>
      </c>
      <c r="AJ15" s="7">
        <f t="shared" si="12"/>
        <v>0</v>
      </c>
      <c r="AK15" s="7">
        <f t="shared" si="13"/>
        <v>0</v>
      </c>
      <c r="AL15" s="7">
        <f t="shared" si="14"/>
        <v>0</v>
      </c>
      <c r="AN15" s="7">
        <v>21</v>
      </c>
      <c r="AO15" s="7">
        <f>H15*0.321455223880597</f>
        <v>0</v>
      </c>
      <c r="AP15" s="7">
        <f>H15*(1-0.321455223880597)</f>
        <v>0</v>
      </c>
      <c r="AQ15" s="6" t="s">
        <v>232</v>
      </c>
      <c r="AV15" s="7">
        <f t="shared" si="15"/>
        <v>0</v>
      </c>
      <c r="AW15" s="7">
        <f t="shared" si="16"/>
        <v>0</v>
      </c>
      <c r="AX15" s="7">
        <f t="shared" si="17"/>
        <v>0</v>
      </c>
      <c r="AY15" s="6" t="s">
        <v>143</v>
      </c>
      <c r="AZ15" s="6" t="s">
        <v>33</v>
      </c>
      <c r="BA15" s="9" t="s">
        <v>180</v>
      </c>
      <c r="BC15" s="7">
        <f t="shared" si="18"/>
        <v>0</v>
      </c>
      <c r="BD15" s="7">
        <f t="shared" si="19"/>
        <v>0</v>
      </c>
      <c r="BE15" s="7">
        <v>0</v>
      </c>
      <c r="BF15" s="7">
        <f t="shared" si="20"/>
        <v>3.4400000000000003E-3</v>
      </c>
      <c r="BH15" s="7">
        <f t="shared" si="21"/>
        <v>0</v>
      </c>
      <c r="BI15" s="7">
        <f t="shared" si="22"/>
        <v>0</v>
      </c>
      <c r="BJ15" s="7">
        <f t="shared" si="23"/>
        <v>0</v>
      </c>
      <c r="BK15" s="7"/>
      <c r="BL15" s="7">
        <v>61</v>
      </c>
    </row>
    <row r="16" spans="1:64" ht="15" customHeight="1" x14ac:dyDescent="0.35">
      <c r="A16" s="38" t="s">
        <v>28</v>
      </c>
      <c r="B16" s="29" t="s">
        <v>161</v>
      </c>
      <c r="C16" s="29" t="s">
        <v>86</v>
      </c>
      <c r="D16" s="46" t="s">
        <v>170</v>
      </c>
      <c r="E16" s="46"/>
      <c r="F16" s="29" t="s">
        <v>229</v>
      </c>
      <c r="G16" s="7">
        <v>31.59</v>
      </c>
      <c r="H16" s="7">
        <v>0</v>
      </c>
      <c r="I16" s="7">
        <f t="shared" si="0"/>
        <v>0</v>
      </c>
      <c r="J16" s="7">
        <f t="shared" si="1"/>
        <v>0</v>
      </c>
      <c r="K16" s="7">
        <f t="shared" si="2"/>
        <v>0</v>
      </c>
      <c r="L16" s="7">
        <v>3.0000000000000001E-5</v>
      </c>
      <c r="M16" s="7">
        <f t="shared" si="3"/>
        <v>9.477E-4</v>
      </c>
      <c r="N16" s="39" t="s">
        <v>253</v>
      </c>
      <c r="Z16" s="7">
        <f t="shared" si="4"/>
        <v>0</v>
      </c>
      <c r="AB16" s="7">
        <f t="shared" si="5"/>
        <v>0</v>
      </c>
      <c r="AC16" s="7">
        <f t="shared" si="6"/>
        <v>0</v>
      </c>
      <c r="AD16" s="7">
        <f t="shared" si="7"/>
        <v>0</v>
      </c>
      <c r="AE16" s="7">
        <f t="shared" si="8"/>
        <v>0</v>
      </c>
      <c r="AF16" s="7">
        <f t="shared" si="9"/>
        <v>0</v>
      </c>
      <c r="AG16" s="7">
        <f t="shared" si="10"/>
        <v>0</v>
      </c>
      <c r="AH16" s="7">
        <f t="shared" si="11"/>
        <v>0</v>
      </c>
      <c r="AI16" s="9" t="s">
        <v>161</v>
      </c>
      <c r="AJ16" s="7">
        <f t="shared" si="12"/>
        <v>0</v>
      </c>
      <c r="AK16" s="7">
        <f t="shared" si="13"/>
        <v>0</v>
      </c>
      <c r="AL16" s="7">
        <f t="shared" si="14"/>
        <v>0</v>
      </c>
      <c r="AN16" s="7">
        <v>21</v>
      </c>
      <c r="AO16" s="7">
        <f>H16*0.148076622599203</f>
        <v>0</v>
      </c>
      <c r="AP16" s="7">
        <f>H16*(1-0.148076622599203)</f>
        <v>0</v>
      </c>
      <c r="AQ16" s="6" t="s">
        <v>232</v>
      </c>
      <c r="AV16" s="7">
        <f t="shared" si="15"/>
        <v>0</v>
      </c>
      <c r="AW16" s="7">
        <f t="shared" si="16"/>
        <v>0</v>
      </c>
      <c r="AX16" s="7">
        <f t="shared" si="17"/>
        <v>0</v>
      </c>
      <c r="AY16" s="6" t="s">
        <v>143</v>
      </c>
      <c r="AZ16" s="6" t="s">
        <v>33</v>
      </c>
      <c r="BA16" s="9" t="s">
        <v>180</v>
      </c>
      <c r="BC16" s="7">
        <f t="shared" si="18"/>
        <v>0</v>
      </c>
      <c r="BD16" s="7">
        <f t="shared" si="19"/>
        <v>0</v>
      </c>
      <c r="BE16" s="7">
        <v>0</v>
      </c>
      <c r="BF16" s="7">
        <f t="shared" si="20"/>
        <v>9.477E-4</v>
      </c>
      <c r="BH16" s="7">
        <f t="shared" si="21"/>
        <v>0</v>
      </c>
      <c r="BI16" s="7">
        <f t="shared" si="22"/>
        <v>0</v>
      </c>
      <c r="BJ16" s="7">
        <f t="shared" si="23"/>
        <v>0</v>
      </c>
      <c r="BK16" s="7"/>
      <c r="BL16" s="7">
        <v>61</v>
      </c>
    </row>
    <row r="17" spans="1:64" ht="15" customHeight="1" x14ac:dyDescent="0.35">
      <c r="A17" s="38" t="s">
        <v>122</v>
      </c>
      <c r="B17" s="29" t="s">
        <v>161</v>
      </c>
      <c r="C17" s="29" t="s">
        <v>76</v>
      </c>
      <c r="D17" s="46" t="s">
        <v>48</v>
      </c>
      <c r="E17" s="46"/>
      <c r="F17" s="29" t="s">
        <v>229</v>
      </c>
      <c r="G17" s="7">
        <v>114.65</v>
      </c>
      <c r="H17" s="7">
        <v>0</v>
      </c>
      <c r="I17" s="7">
        <f t="shared" si="0"/>
        <v>0</v>
      </c>
      <c r="J17" s="7">
        <f t="shared" si="1"/>
        <v>0</v>
      </c>
      <c r="K17" s="7">
        <f t="shared" si="2"/>
        <v>0</v>
      </c>
      <c r="L17" s="7">
        <v>6.3499999999999997E-3</v>
      </c>
      <c r="M17" s="7">
        <f t="shared" si="3"/>
        <v>0.72802750000000005</v>
      </c>
      <c r="N17" s="39" t="s">
        <v>253</v>
      </c>
      <c r="Z17" s="7">
        <f t="shared" si="4"/>
        <v>0</v>
      </c>
      <c r="AB17" s="7">
        <f t="shared" si="5"/>
        <v>0</v>
      </c>
      <c r="AC17" s="7">
        <f t="shared" si="6"/>
        <v>0</v>
      </c>
      <c r="AD17" s="7">
        <f t="shared" si="7"/>
        <v>0</v>
      </c>
      <c r="AE17" s="7">
        <f t="shared" si="8"/>
        <v>0</v>
      </c>
      <c r="AF17" s="7">
        <f t="shared" si="9"/>
        <v>0</v>
      </c>
      <c r="AG17" s="7">
        <f t="shared" si="10"/>
        <v>0</v>
      </c>
      <c r="AH17" s="7">
        <f t="shared" si="11"/>
        <v>0</v>
      </c>
      <c r="AI17" s="9" t="s">
        <v>161</v>
      </c>
      <c r="AJ17" s="7">
        <f t="shared" si="12"/>
        <v>0</v>
      </c>
      <c r="AK17" s="7">
        <f t="shared" si="13"/>
        <v>0</v>
      </c>
      <c r="AL17" s="7">
        <f t="shared" si="14"/>
        <v>0</v>
      </c>
      <c r="AN17" s="7">
        <v>21</v>
      </c>
      <c r="AO17" s="7">
        <f>H17*0.0488982004346139</f>
        <v>0</v>
      </c>
      <c r="AP17" s="7">
        <f>H17*(1-0.0488982004346139)</f>
        <v>0</v>
      </c>
      <c r="AQ17" s="6" t="s">
        <v>232</v>
      </c>
      <c r="AV17" s="7">
        <f t="shared" si="15"/>
        <v>0</v>
      </c>
      <c r="AW17" s="7">
        <f t="shared" si="16"/>
        <v>0</v>
      </c>
      <c r="AX17" s="7">
        <f t="shared" si="17"/>
        <v>0</v>
      </c>
      <c r="AY17" s="6" t="s">
        <v>143</v>
      </c>
      <c r="AZ17" s="6" t="s">
        <v>33</v>
      </c>
      <c r="BA17" s="9" t="s">
        <v>180</v>
      </c>
      <c r="BC17" s="7">
        <f t="shared" si="18"/>
        <v>0</v>
      </c>
      <c r="BD17" s="7">
        <f t="shared" si="19"/>
        <v>0</v>
      </c>
      <c r="BE17" s="7">
        <v>0</v>
      </c>
      <c r="BF17" s="7">
        <f t="shared" si="20"/>
        <v>0.72802750000000005</v>
      </c>
      <c r="BH17" s="7">
        <f t="shared" si="21"/>
        <v>0</v>
      </c>
      <c r="BI17" s="7">
        <f t="shared" si="22"/>
        <v>0</v>
      </c>
      <c r="BJ17" s="7">
        <f t="shared" si="23"/>
        <v>0</v>
      </c>
      <c r="BK17" s="7"/>
      <c r="BL17" s="7">
        <v>61</v>
      </c>
    </row>
    <row r="18" spans="1:64" ht="15" customHeight="1" x14ac:dyDescent="0.35">
      <c r="A18" s="38" t="s">
        <v>37</v>
      </c>
      <c r="B18" s="29" t="s">
        <v>161</v>
      </c>
      <c r="C18" s="29" t="s">
        <v>86</v>
      </c>
      <c r="D18" s="46" t="s">
        <v>217</v>
      </c>
      <c r="E18" s="46"/>
      <c r="F18" s="29" t="s">
        <v>229</v>
      </c>
      <c r="G18" s="7">
        <v>114.65</v>
      </c>
      <c r="H18" s="7">
        <v>0</v>
      </c>
      <c r="I18" s="7">
        <f t="shared" si="0"/>
        <v>0</v>
      </c>
      <c r="J18" s="7">
        <f t="shared" si="1"/>
        <v>0</v>
      </c>
      <c r="K18" s="7">
        <f t="shared" si="2"/>
        <v>0</v>
      </c>
      <c r="L18" s="7">
        <v>3.0000000000000001E-5</v>
      </c>
      <c r="M18" s="7">
        <f t="shared" si="3"/>
        <v>3.4395000000000003E-3</v>
      </c>
      <c r="N18" s="39" t="s">
        <v>253</v>
      </c>
      <c r="Z18" s="7">
        <f t="shared" si="4"/>
        <v>0</v>
      </c>
      <c r="AB18" s="7">
        <f t="shared" si="5"/>
        <v>0</v>
      </c>
      <c r="AC18" s="7">
        <f t="shared" si="6"/>
        <v>0</v>
      </c>
      <c r="AD18" s="7">
        <f t="shared" si="7"/>
        <v>0</v>
      </c>
      <c r="AE18" s="7">
        <f t="shared" si="8"/>
        <v>0</v>
      </c>
      <c r="AF18" s="7">
        <f t="shared" si="9"/>
        <v>0</v>
      </c>
      <c r="AG18" s="7">
        <f t="shared" si="10"/>
        <v>0</v>
      </c>
      <c r="AH18" s="7">
        <f t="shared" si="11"/>
        <v>0</v>
      </c>
      <c r="AI18" s="9" t="s">
        <v>161</v>
      </c>
      <c r="AJ18" s="7">
        <f t="shared" si="12"/>
        <v>0</v>
      </c>
      <c r="AK18" s="7">
        <f t="shared" si="13"/>
        <v>0</v>
      </c>
      <c r="AL18" s="7">
        <f t="shared" si="14"/>
        <v>0</v>
      </c>
      <c r="AN18" s="7">
        <v>21</v>
      </c>
      <c r="AO18" s="7">
        <f>H18*0.148076923076923</f>
        <v>0</v>
      </c>
      <c r="AP18" s="7">
        <f>H18*(1-0.148076923076923)</f>
        <v>0</v>
      </c>
      <c r="AQ18" s="6" t="s">
        <v>232</v>
      </c>
      <c r="AV18" s="7">
        <f t="shared" si="15"/>
        <v>0</v>
      </c>
      <c r="AW18" s="7">
        <f t="shared" si="16"/>
        <v>0</v>
      </c>
      <c r="AX18" s="7">
        <f t="shared" si="17"/>
        <v>0</v>
      </c>
      <c r="AY18" s="6" t="s">
        <v>143</v>
      </c>
      <c r="AZ18" s="6" t="s">
        <v>33</v>
      </c>
      <c r="BA18" s="9" t="s">
        <v>180</v>
      </c>
      <c r="BC18" s="7">
        <f t="shared" si="18"/>
        <v>0</v>
      </c>
      <c r="BD18" s="7">
        <f t="shared" si="19"/>
        <v>0</v>
      </c>
      <c r="BE18" s="7">
        <v>0</v>
      </c>
      <c r="BF18" s="7">
        <f t="shared" si="20"/>
        <v>3.4395000000000003E-3</v>
      </c>
      <c r="BH18" s="7">
        <f t="shared" si="21"/>
        <v>0</v>
      </c>
      <c r="BI18" s="7">
        <f t="shared" si="22"/>
        <v>0</v>
      </c>
      <c r="BJ18" s="7">
        <f t="shared" si="23"/>
        <v>0</v>
      </c>
      <c r="BK18" s="7"/>
      <c r="BL18" s="7">
        <v>61</v>
      </c>
    </row>
    <row r="19" spans="1:64" ht="15" customHeight="1" x14ac:dyDescent="0.35">
      <c r="A19" s="38" t="s">
        <v>234</v>
      </c>
      <c r="B19" s="29" t="s">
        <v>161</v>
      </c>
      <c r="C19" s="29" t="s">
        <v>70</v>
      </c>
      <c r="D19" s="46" t="s">
        <v>203</v>
      </c>
      <c r="E19" s="46"/>
      <c r="F19" s="29" t="s">
        <v>229</v>
      </c>
      <c r="G19" s="7">
        <v>114.65</v>
      </c>
      <c r="H19" s="7">
        <v>0</v>
      </c>
      <c r="I19" s="7">
        <f t="shared" si="0"/>
        <v>0</v>
      </c>
      <c r="J19" s="7">
        <f t="shared" si="1"/>
        <v>0</v>
      </c>
      <c r="K19" s="7">
        <f t="shared" si="2"/>
        <v>0</v>
      </c>
      <c r="L19" s="7">
        <v>4.8999999999999998E-4</v>
      </c>
      <c r="M19" s="7">
        <f t="shared" si="3"/>
        <v>5.6178499999999999E-2</v>
      </c>
      <c r="N19" s="39" t="s">
        <v>253</v>
      </c>
      <c r="Z19" s="7">
        <f t="shared" si="4"/>
        <v>0</v>
      </c>
      <c r="AB19" s="7">
        <f t="shared" si="5"/>
        <v>0</v>
      </c>
      <c r="AC19" s="7">
        <f t="shared" si="6"/>
        <v>0</v>
      </c>
      <c r="AD19" s="7">
        <f t="shared" si="7"/>
        <v>0</v>
      </c>
      <c r="AE19" s="7">
        <f t="shared" si="8"/>
        <v>0</v>
      </c>
      <c r="AF19" s="7">
        <f t="shared" si="9"/>
        <v>0</v>
      </c>
      <c r="AG19" s="7">
        <f t="shared" si="10"/>
        <v>0</v>
      </c>
      <c r="AH19" s="7">
        <f t="shared" si="11"/>
        <v>0</v>
      </c>
      <c r="AI19" s="9" t="s">
        <v>161</v>
      </c>
      <c r="AJ19" s="7">
        <f t="shared" si="12"/>
        <v>0</v>
      </c>
      <c r="AK19" s="7">
        <f t="shared" si="13"/>
        <v>0</v>
      </c>
      <c r="AL19" s="7">
        <f t="shared" si="14"/>
        <v>0</v>
      </c>
      <c r="AN19" s="7">
        <v>21</v>
      </c>
      <c r="AO19" s="7">
        <f>H19*0.2903883502987</f>
        <v>0</v>
      </c>
      <c r="AP19" s="7">
        <f>H19*(1-0.2903883502987)</f>
        <v>0</v>
      </c>
      <c r="AQ19" s="6" t="s">
        <v>232</v>
      </c>
      <c r="AV19" s="7">
        <f t="shared" si="15"/>
        <v>0</v>
      </c>
      <c r="AW19" s="7">
        <f t="shared" si="16"/>
        <v>0</v>
      </c>
      <c r="AX19" s="7">
        <f t="shared" si="17"/>
        <v>0</v>
      </c>
      <c r="AY19" s="6" t="s">
        <v>143</v>
      </c>
      <c r="AZ19" s="6" t="s">
        <v>33</v>
      </c>
      <c r="BA19" s="9" t="s">
        <v>180</v>
      </c>
      <c r="BC19" s="7">
        <f t="shared" si="18"/>
        <v>0</v>
      </c>
      <c r="BD19" s="7">
        <f t="shared" si="19"/>
        <v>0</v>
      </c>
      <c r="BE19" s="7">
        <v>0</v>
      </c>
      <c r="BF19" s="7">
        <f t="shared" si="20"/>
        <v>5.6178499999999999E-2</v>
      </c>
      <c r="BH19" s="7">
        <f t="shared" si="21"/>
        <v>0</v>
      </c>
      <c r="BI19" s="7">
        <f t="shared" si="22"/>
        <v>0</v>
      </c>
      <c r="BJ19" s="7">
        <f t="shared" si="23"/>
        <v>0</v>
      </c>
      <c r="BK19" s="7"/>
      <c r="BL19" s="7">
        <v>61</v>
      </c>
    </row>
    <row r="20" spans="1:64" ht="15" customHeight="1" x14ac:dyDescent="0.35">
      <c r="A20" s="36" t="s">
        <v>161</v>
      </c>
      <c r="B20" s="31" t="s">
        <v>161</v>
      </c>
      <c r="C20" s="31" t="s">
        <v>116</v>
      </c>
      <c r="D20" s="47" t="s">
        <v>242</v>
      </c>
      <c r="E20" s="47"/>
      <c r="F20" s="26" t="s">
        <v>218</v>
      </c>
      <c r="G20" s="26" t="s">
        <v>218</v>
      </c>
      <c r="H20" s="26" t="s">
        <v>218</v>
      </c>
      <c r="I20" s="11">
        <f>SUM(I21:I25)</f>
        <v>0</v>
      </c>
      <c r="J20" s="11">
        <f>SUM(J21:J25)</f>
        <v>0</v>
      </c>
      <c r="K20" s="11">
        <f>SUM(K21:K25)</f>
        <v>0</v>
      </c>
      <c r="L20" s="9" t="s">
        <v>161</v>
      </c>
      <c r="M20" s="11">
        <f>SUM(M21:M25)</f>
        <v>1.4146899999999998</v>
      </c>
      <c r="N20" s="37" t="s">
        <v>161</v>
      </c>
      <c r="AI20" s="9" t="s">
        <v>161</v>
      </c>
      <c r="AS20" s="11">
        <f>SUM(AJ21:AJ25)</f>
        <v>0</v>
      </c>
      <c r="AT20" s="11">
        <f>SUM(AK21:AK25)</f>
        <v>0</v>
      </c>
      <c r="AU20" s="11">
        <f>SUM(AL21:AL25)</f>
        <v>0</v>
      </c>
    </row>
    <row r="21" spans="1:64" ht="15" customHeight="1" x14ac:dyDescent="0.35">
      <c r="A21" s="38" t="s">
        <v>187</v>
      </c>
      <c r="B21" s="29" t="s">
        <v>161</v>
      </c>
      <c r="C21" s="29" t="s">
        <v>166</v>
      </c>
      <c r="D21" s="46" t="s">
        <v>195</v>
      </c>
      <c r="E21" s="46"/>
      <c r="F21" s="29" t="s">
        <v>53</v>
      </c>
      <c r="G21" s="7">
        <v>1</v>
      </c>
      <c r="H21" s="7">
        <v>0</v>
      </c>
      <c r="I21" s="7">
        <f>G21*AO21</f>
        <v>0</v>
      </c>
      <c r="J21" s="7">
        <f>G21*AP21</f>
        <v>0</v>
      </c>
      <c r="K21" s="7">
        <f>G21*H21</f>
        <v>0</v>
      </c>
      <c r="L21" s="7">
        <v>3.177E-2</v>
      </c>
      <c r="M21" s="7">
        <f>G21*L21</f>
        <v>3.177E-2</v>
      </c>
      <c r="N21" s="39" t="s">
        <v>253</v>
      </c>
      <c r="Z21" s="7">
        <f>IF(AQ21="5",BJ21,0)</f>
        <v>0</v>
      </c>
      <c r="AB21" s="7">
        <f>IF(AQ21="1",BH21,0)</f>
        <v>0</v>
      </c>
      <c r="AC21" s="7">
        <f>IF(AQ21="1",BI21,0)</f>
        <v>0</v>
      </c>
      <c r="AD21" s="7">
        <f>IF(AQ21="7",BH21,0)</f>
        <v>0</v>
      </c>
      <c r="AE21" s="7">
        <f>IF(AQ21="7",BI21,0)</f>
        <v>0</v>
      </c>
      <c r="AF21" s="7">
        <f>IF(AQ21="2",BH21,0)</f>
        <v>0</v>
      </c>
      <c r="AG21" s="7">
        <f>IF(AQ21="2",BI21,0)</f>
        <v>0</v>
      </c>
      <c r="AH21" s="7">
        <f>IF(AQ21="0",BJ21,0)</f>
        <v>0</v>
      </c>
      <c r="AI21" s="9" t="s">
        <v>161</v>
      </c>
      <c r="AJ21" s="7">
        <f>IF(AN21=0,K21,0)</f>
        <v>0</v>
      </c>
      <c r="AK21" s="7">
        <f>IF(AN21=15,K21,0)</f>
        <v>0</v>
      </c>
      <c r="AL21" s="7">
        <f>IF(AN21=21,K21,0)</f>
        <v>0</v>
      </c>
      <c r="AN21" s="7">
        <v>21</v>
      </c>
      <c r="AO21" s="7">
        <f>H21*0.76179607185553</f>
        <v>0</v>
      </c>
      <c r="AP21" s="7">
        <f>H21*(1-0.76179607185553)</f>
        <v>0</v>
      </c>
      <c r="AQ21" s="6" t="s">
        <v>232</v>
      </c>
      <c r="AV21" s="7">
        <f>AW21+AX21</f>
        <v>0</v>
      </c>
      <c r="AW21" s="7">
        <f>G21*AO21</f>
        <v>0</v>
      </c>
      <c r="AX21" s="7">
        <f>G21*AP21</f>
        <v>0</v>
      </c>
      <c r="AY21" s="6" t="s">
        <v>154</v>
      </c>
      <c r="AZ21" s="6" t="s">
        <v>33</v>
      </c>
      <c r="BA21" s="9" t="s">
        <v>180</v>
      </c>
      <c r="BC21" s="7">
        <f>AW21+AX21</f>
        <v>0</v>
      </c>
      <c r="BD21" s="7">
        <f>H21/(100-BE21)*100</f>
        <v>0</v>
      </c>
      <c r="BE21" s="7">
        <v>0</v>
      </c>
      <c r="BF21" s="7">
        <f>M21</f>
        <v>3.177E-2</v>
      </c>
      <c r="BH21" s="7">
        <f>G21*AO21</f>
        <v>0</v>
      </c>
      <c r="BI21" s="7">
        <f>G21*AP21</f>
        <v>0</v>
      </c>
      <c r="BJ21" s="7">
        <f>G21*H21</f>
        <v>0</v>
      </c>
      <c r="BK21" s="7"/>
      <c r="BL21" s="7">
        <v>64</v>
      </c>
    </row>
    <row r="22" spans="1:64" ht="15" customHeight="1" x14ac:dyDescent="0.35">
      <c r="A22" s="38" t="s">
        <v>87</v>
      </c>
      <c r="B22" s="29" t="s">
        <v>161</v>
      </c>
      <c r="C22" s="29" t="s">
        <v>215</v>
      </c>
      <c r="D22" s="46" t="s">
        <v>153</v>
      </c>
      <c r="E22" s="46"/>
      <c r="F22" s="29" t="s">
        <v>53</v>
      </c>
      <c r="G22" s="7">
        <v>9</v>
      </c>
      <c r="H22" s="7">
        <v>0</v>
      </c>
      <c r="I22" s="7">
        <f>G22*AO22</f>
        <v>0</v>
      </c>
      <c r="J22" s="7">
        <f>G22*AP22</f>
        <v>0</v>
      </c>
      <c r="K22" s="7">
        <f>G22*H22</f>
        <v>0</v>
      </c>
      <c r="L22" s="7">
        <v>3.3070000000000002E-2</v>
      </c>
      <c r="M22" s="7">
        <f>G22*L22</f>
        <v>0.29763000000000001</v>
      </c>
      <c r="N22" s="39" t="s">
        <v>253</v>
      </c>
      <c r="Z22" s="7">
        <f>IF(AQ22="5",BJ22,0)</f>
        <v>0</v>
      </c>
      <c r="AB22" s="7">
        <f>IF(AQ22="1",BH22,0)</f>
        <v>0</v>
      </c>
      <c r="AC22" s="7">
        <f>IF(AQ22="1",BI22,0)</f>
        <v>0</v>
      </c>
      <c r="AD22" s="7">
        <f>IF(AQ22="7",BH22,0)</f>
        <v>0</v>
      </c>
      <c r="AE22" s="7">
        <f>IF(AQ22="7",BI22,0)</f>
        <v>0</v>
      </c>
      <c r="AF22" s="7">
        <f>IF(AQ22="2",BH22,0)</f>
        <v>0</v>
      </c>
      <c r="AG22" s="7">
        <f>IF(AQ22="2",BI22,0)</f>
        <v>0</v>
      </c>
      <c r="AH22" s="7">
        <f>IF(AQ22="0",BJ22,0)</f>
        <v>0</v>
      </c>
      <c r="AI22" s="9" t="s">
        <v>161</v>
      </c>
      <c r="AJ22" s="7">
        <f>IF(AN22=0,K22,0)</f>
        <v>0</v>
      </c>
      <c r="AK22" s="7">
        <f>IF(AN22=15,K22,0)</f>
        <v>0</v>
      </c>
      <c r="AL22" s="7">
        <f>IF(AN22=21,K22,0)</f>
        <v>0</v>
      </c>
      <c r="AN22" s="7">
        <v>21</v>
      </c>
      <c r="AO22" s="7">
        <f>H22*0.776724034130682</f>
        <v>0</v>
      </c>
      <c r="AP22" s="7">
        <f>H22*(1-0.776724034130682)</f>
        <v>0</v>
      </c>
      <c r="AQ22" s="6" t="s">
        <v>232</v>
      </c>
      <c r="AV22" s="7">
        <f>AW22+AX22</f>
        <v>0</v>
      </c>
      <c r="AW22" s="7">
        <f>G22*AO22</f>
        <v>0</v>
      </c>
      <c r="AX22" s="7">
        <f>G22*AP22</f>
        <v>0</v>
      </c>
      <c r="AY22" s="6" t="s">
        <v>154</v>
      </c>
      <c r="AZ22" s="6" t="s">
        <v>33</v>
      </c>
      <c r="BA22" s="9" t="s">
        <v>180</v>
      </c>
      <c r="BC22" s="7">
        <f>AW22+AX22</f>
        <v>0</v>
      </c>
      <c r="BD22" s="7">
        <f>H22/(100-BE22)*100</f>
        <v>0</v>
      </c>
      <c r="BE22" s="7">
        <v>0</v>
      </c>
      <c r="BF22" s="7">
        <f>M22</f>
        <v>0.29763000000000001</v>
      </c>
      <c r="BH22" s="7">
        <f>G22*AO22</f>
        <v>0</v>
      </c>
      <c r="BI22" s="7">
        <f>G22*AP22</f>
        <v>0</v>
      </c>
      <c r="BJ22" s="7">
        <f>G22*H22</f>
        <v>0</v>
      </c>
      <c r="BK22" s="7"/>
      <c r="BL22" s="7">
        <v>64</v>
      </c>
    </row>
    <row r="23" spans="1:64" ht="15" customHeight="1" x14ac:dyDescent="0.35">
      <c r="A23" s="38" t="s">
        <v>132</v>
      </c>
      <c r="B23" s="29" t="s">
        <v>161</v>
      </c>
      <c r="C23" s="29" t="s">
        <v>11</v>
      </c>
      <c r="D23" s="46" t="s">
        <v>118</v>
      </c>
      <c r="E23" s="46"/>
      <c r="F23" s="29" t="s">
        <v>53</v>
      </c>
      <c r="G23" s="7">
        <v>3</v>
      </c>
      <c r="H23" s="7">
        <v>0</v>
      </c>
      <c r="I23" s="7">
        <f>G23*AO23</f>
        <v>0</v>
      </c>
      <c r="J23" s="7">
        <f>G23*AP23</f>
        <v>0</v>
      </c>
      <c r="K23" s="7">
        <f>G23*H23</f>
        <v>0</v>
      </c>
      <c r="L23" s="7">
        <v>2.9569999999999999E-2</v>
      </c>
      <c r="M23" s="7">
        <f>G23*L23</f>
        <v>8.8709999999999997E-2</v>
      </c>
      <c r="N23" s="39" t="s">
        <v>253</v>
      </c>
      <c r="Z23" s="7">
        <f>IF(AQ23="5",BJ23,0)</f>
        <v>0</v>
      </c>
      <c r="AB23" s="7">
        <f>IF(AQ23="1",BH23,0)</f>
        <v>0</v>
      </c>
      <c r="AC23" s="7">
        <f>IF(AQ23="1",BI23,0)</f>
        <v>0</v>
      </c>
      <c r="AD23" s="7">
        <f>IF(AQ23="7",BH23,0)</f>
        <v>0</v>
      </c>
      <c r="AE23" s="7">
        <f>IF(AQ23="7",BI23,0)</f>
        <v>0</v>
      </c>
      <c r="AF23" s="7">
        <f>IF(AQ23="2",BH23,0)</f>
        <v>0</v>
      </c>
      <c r="AG23" s="7">
        <f>IF(AQ23="2",BI23,0)</f>
        <v>0</v>
      </c>
      <c r="AH23" s="7">
        <f>IF(AQ23="0",BJ23,0)</f>
        <v>0</v>
      </c>
      <c r="AI23" s="9" t="s">
        <v>161</v>
      </c>
      <c r="AJ23" s="7">
        <f>IF(AN23=0,K23,0)</f>
        <v>0</v>
      </c>
      <c r="AK23" s="7">
        <f>IF(AN23=15,K23,0)</f>
        <v>0</v>
      </c>
      <c r="AL23" s="7">
        <f>IF(AN23=21,K23,0)</f>
        <v>0</v>
      </c>
      <c r="AN23" s="7">
        <v>21</v>
      </c>
      <c r="AO23" s="7">
        <f>H23*0.784906633675702</f>
        <v>0</v>
      </c>
      <c r="AP23" s="7">
        <f>H23*(1-0.784906633675702)</f>
        <v>0</v>
      </c>
      <c r="AQ23" s="6" t="s">
        <v>232</v>
      </c>
      <c r="AV23" s="7">
        <f>AW23+AX23</f>
        <v>0</v>
      </c>
      <c r="AW23" s="7">
        <f>G23*AO23</f>
        <v>0</v>
      </c>
      <c r="AX23" s="7">
        <f>G23*AP23</f>
        <v>0</v>
      </c>
      <c r="AY23" s="6" t="s">
        <v>154</v>
      </c>
      <c r="AZ23" s="6" t="s">
        <v>33</v>
      </c>
      <c r="BA23" s="9" t="s">
        <v>180</v>
      </c>
      <c r="BC23" s="7">
        <f>AW23+AX23</f>
        <v>0</v>
      </c>
      <c r="BD23" s="7">
        <f>H23/(100-BE23)*100</f>
        <v>0</v>
      </c>
      <c r="BE23" s="7">
        <v>0</v>
      </c>
      <c r="BF23" s="7">
        <f>M23</f>
        <v>8.8709999999999997E-2</v>
      </c>
      <c r="BH23" s="7">
        <f>G23*AO23</f>
        <v>0</v>
      </c>
      <c r="BI23" s="7">
        <f>G23*AP23</f>
        <v>0</v>
      </c>
      <c r="BJ23" s="7">
        <f>G23*H23</f>
        <v>0</v>
      </c>
      <c r="BK23" s="7"/>
      <c r="BL23" s="7">
        <v>64</v>
      </c>
    </row>
    <row r="24" spans="1:64" ht="15" customHeight="1" x14ac:dyDescent="0.35">
      <c r="A24" s="38" t="s">
        <v>197</v>
      </c>
      <c r="B24" s="29" t="s">
        <v>161</v>
      </c>
      <c r="C24" s="29" t="s">
        <v>75</v>
      </c>
      <c r="D24" s="46" t="s">
        <v>62</v>
      </c>
      <c r="E24" s="46"/>
      <c r="F24" s="29" t="s">
        <v>53</v>
      </c>
      <c r="G24" s="7">
        <v>3</v>
      </c>
      <c r="H24" s="7">
        <v>0</v>
      </c>
      <c r="I24" s="7">
        <f>G24*AO24</f>
        <v>0</v>
      </c>
      <c r="J24" s="7">
        <f>G24*AP24</f>
        <v>0</v>
      </c>
      <c r="K24" s="7">
        <f>G24*H24</f>
        <v>0</v>
      </c>
      <c r="L24" s="7">
        <v>2.9770000000000001E-2</v>
      </c>
      <c r="M24" s="7">
        <f>G24*L24</f>
        <v>8.931E-2</v>
      </c>
      <c r="N24" s="39" t="s">
        <v>253</v>
      </c>
      <c r="Z24" s="7">
        <f>IF(AQ24="5",BJ24,0)</f>
        <v>0</v>
      </c>
      <c r="AB24" s="7">
        <f>IF(AQ24="1",BH24,0)</f>
        <v>0</v>
      </c>
      <c r="AC24" s="7">
        <f>IF(AQ24="1",BI24,0)</f>
        <v>0</v>
      </c>
      <c r="AD24" s="7">
        <f>IF(AQ24="7",BH24,0)</f>
        <v>0</v>
      </c>
      <c r="AE24" s="7">
        <f>IF(AQ24="7",BI24,0)</f>
        <v>0</v>
      </c>
      <c r="AF24" s="7">
        <f>IF(AQ24="2",BH24,0)</f>
        <v>0</v>
      </c>
      <c r="AG24" s="7">
        <f>IF(AQ24="2",BI24,0)</f>
        <v>0</v>
      </c>
      <c r="AH24" s="7">
        <f>IF(AQ24="0",BJ24,0)</f>
        <v>0</v>
      </c>
      <c r="AI24" s="9" t="s">
        <v>161</v>
      </c>
      <c r="AJ24" s="7">
        <f>IF(AN24=0,K24,0)</f>
        <v>0</v>
      </c>
      <c r="AK24" s="7">
        <f>IF(AN24=15,K24,0)</f>
        <v>0</v>
      </c>
      <c r="AL24" s="7">
        <f>IF(AN24=21,K24,0)</f>
        <v>0</v>
      </c>
      <c r="AN24" s="7">
        <v>21</v>
      </c>
      <c r="AO24" s="7">
        <f>H24*0.797225923965832</f>
        <v>0</v>
      </c>
      <c r="AP24" s="7">
        <f>H24*(1-0.797225923965832)</f>
        <v>0</v>
      </c>
      <c r="AQ24" s="6" t="s">
        <v>232</v>
      </c>
      <c r="AV24" s="7">
        <f>AW24+AX24</f>
        <v>0</v>
      </c>
      <c r="AW24" s="7">
        <f>G24*AO24</f>
        <v>0</v>
      </c>
      <c r="AX24" s="7">
        <f>G24*AP24</f>
        <v>0</v>
      </c>
      <c r="AY24" s="6" t="s">
        <v>154</v>
      </c>
      <c r="AZ24" s="6" t="s">
        <v>33</v>
      </c>
      <c r="BA24" s="9" t="s">
        <v>180</v>
      </c>
      <c r="BC24" s="7">
        <f>AW24+AX24</f>
        <v>0</v>
      </c>
      <c r="BD24" s="7">
        <f>H24/(100-BE24)*100</f>
        <v>0</v>
      </c>
      <c r="BE24" s="7">
        <v>0</v>
      </c>
      <c r="BF24" s="7">
        <f>M24</f>
        <v>8.931E-2</v>
      </c>
      <c r="BH24" s="7">
        <f>G24*AO24</f>
        <v>0</v>
      </c>
      <c r="BI24" s="7">
        <f>G24*AP24</f>
        <v>0</v>
      </c>
      <c r="BJ24" s="7">
        <f>G24*H24</f>
        <v>0</v>
      </c>
      <c r="BK24" s="7"/>
      <c r="BL24" s="7">
        <v>64</v>
      </c>
    </row>
    <row r="25" spans="1:64" ht="15" customHeight="1" x14ac:dyDescent="0.35">
      <c r="A25" s="38" t="s">
        <v>172</v>
      </c>
      <c r="B25" s="29" t="s">
        <v>161</v>
      </c>
      <c r="C25" s="29" t="s">
        <v>182</v>
      </c>
      <c r="D25" s="46" t="s">
        <v>90</v>
      </c>
      <c r="E25" s="46"/>
      <c r="F25" s="29" t="s">
        <v>196</v>
      </c>
      <c r="G25" s="7">
        <v>18.2</v>
      </c>
      <c r="H25" s="7">
        <v>0</v>
      </c>
      <c r="I25" s="7">
        <f>G25*AO25</f>
        <v>0</v>
      </c>
      <c r="J25" s="7">
        <f>G25*AP25</f>
        <v>0</v>
      </c>
      <c r="K25" s="7">
        <f>G25*H25</f>
        <v>0</v>
      </c>
      <c r="L25" s="7">
        <v>4.9849999999999998E-2</v>
      </c>
      <c r="M25" s="7">
        <f>G25*L25</f>
        <v>0.90726999999999991</v>
      </c>
      <c r="N25" s="39" t="s">
        <v>253</v>
      </c>
      <c r="Z25" s="7">
        <f>IF(AQ25="5",BJ25,0)</f>
        <v>0</v>
      </c>
      <c r="AB25" s="7">
        <f>IF(AQ25="1",BH25,0)</f>
        <v>0</v>
      </c>
      <c r="AC25" s="7">
        <f>IF(AQ25="1",BI25,0)</f>
        <v>0</v>
      </c>
      <c r="AD25" s="7">
        <f>IF(AQ25="7",BH25,0)</f>
        <v>0</v>
      </c>
      <c r="AE25" s="7">
        <f>IF(AQ25="7",BI25,0)</f>
        <v>0</v>
      </c>
      <c r="AF25" s="7">
        <f>IF(AQ25="2",BH25,0)</f>
        <v>0</v>
      </c>
      <c r="AG25" s="7">
        <f>IF(AQ25="2",BI25,0)</f>
        <v>0</v>
      </c>
      <c r="AH25" s="7">
        <f>IF(AQ25="0",BJ25,0)</f>
        <v>0</v>
      </c>
      <c r="AI25" s="9" t="s">
        <v>161</v>
      </c>
      <c r="AJ25" s="7">
        <f>IF(AN25=0,K25,0)</f>
        <v>0</v>
      </c>
      <c r="AK25" s="7">
        <f>IF(AN25=15,K25,0)</f>
        <v>0</v>
      </c>
      <c r="AL25" s="7">
        <f>IF(AN25=21,K25,0)</f>
        <v>0</v>
      </c>
      <c r="AN25" s="7">
        <v>21</v>
      </c>
      <c r="AO25" s="7">
        <f>H25*0.353305169813655</f>
        <v>0</v>
      </c>
      <c r="AP25" s="7">
        <f>H25*(1-0.353305169813655)</f>
        <v>0</v>
      </c>
      <c r="AQ25" s="6" t="s">
        <v>232</v>
      </c>
      <c r="AV25" s="7">
        <f>AW25+AX25</f>
        <v>0</v>
      </c>
      <c r="AW25" s="7">
        <f>G25*AO25</f>
        <v>0</v>
      </c>
      <c r="AX25" s="7">
        <f>G25*AP25</f>
        <v>0</v>
      </c>
      <c r="AY25" s="6" t="s">
        <v>154</v>
      </c>
      <c r="AZ25" s="6" t="s">
        <v>33</v>
      </c>
      <c r="BA25" s="9" t="s">
        <v>180</v>
      </c>
      <c r="BC25" s="7">
        <f>AW25+AX25</f>
        <v>0</v>
      </c>
      <c r="BD25" s="7">
        <f>H25/(100-BE25)*100</f>
        <v>0</v>
      </c>
      <c r="BE25" s="7">
        <v>0</v>
      </c>
      <c r="BF25" s="7">
        <f>M25</f>
        <v>0.90726999999999991</v>
      </c>
      <c r="BH25" s="7">
        <f>G25*AO25</f>
        <v>0</v>
      </c>
      <c r="BI25" s="7">
        <f>G25*AP25</f>
        <v>0</v>
      </c>
      <c r="BJ25" s="7">
        <f>G25*H25</f>
        <v>0</v>
      </c>
      <c r="BK25" s="7"/>
      <c r="BL25" s="7">
        <v>64</v>
      </c>
    </row>
    <row r="26" spans="1:64" ht="15" customHeight="1" x14ac:dyDescent="0.35">
      <c r="A26" s="36" t="s">
        <v>161</v>
      </c>
      <c r="B26" s="31" t="s">
        <v>161</v>
      </c>
      <c r="C26" s="31" t="s">
        <v>97</v>
      </c>
      <c r="D26" s="47" t="s">
        <v>113</v>
      </c>
      <c r="E26" s="47"/>
      <c r="F26" s="26" t="s">
        <v>218</v>
      </c>
      <c r="G26" s="26" t="s">
        <v>218</v>
      </c>
      <c r="H26" s="26" t="s">
        <v>218</v>
      </c>
      <c r="I26" s="11">
        <f>SUM(I27:I28)</f>
        <v>0</v>
      </c>
      <c r="J26" s="11">
        <f>SUM(J27:J28)</f>
        <v>0</v>
      </c>
      <c r="K26" s="11">
        <f>SUM(K27:K28)</f>
        <v>0</v>
      </c>
      <c r="L26" s="9" t="s">
        <v>161</v>
      </c>
      <c r="M26" s="11">
        <f>SUM(M27:M28)</f>
        <v>0.43808000000000002</v>
      </c>
      <c r="N26" s="37" t="s">
        <v>161</v>
      </c>
      <c r="AI26" s="9" t="s">
        <v>161</v>
      </c>
      <c r="AS26" s="11">
        <f>SUM(AJ27:AJ28)</f>
        <v>0</v>
      </c>
      <c r="AT26" s="11">
        <f>SUM(AK27:AK28)</f>
        <v>0</v>
      </c>
      <c r="AU26" s="11">
        <f>SUM(AL27:AL28)</f>
        <v>0</v>
      </c>
    </row>
    <row r="27" spans="1:64" ht="15" customHeight="1" x14ac:dyDescent="0.35">
      <c r="A27" s="38" t="s">
        <v>63</v>
      </c>
      <c r="B27" s="29" t="s">
        <v>161</v>
      </c>
      <c r="C27" s="29" t="s">
        <v>29</v>
      </c>
      <c r="D27" s="46" t="s">
        <v>88</v>
      </c>
      <c r="E27" s="46"/>
      <c r="F27" s="29" t="s">
        <v>53</v>
      </c>
      <c r="G27" s="7">
        <v>1</v>
      </c>
      <c r="H27" s="7">
        <v>0</v>
      </c>
      <c r="I27" s="7">
        <f>G27*AO27</f>
        <v>0</v>
      </c>
      <c r="J27" s="7">
        <f>G27*AP27</f>
        <v>0</v>
      </c>
      <c r="K27" s="7">
        <f>G27*H27</f>
        <v>0</v>
      </c>
      <c r="L27" s="7">
        <v>3.8080000000000003E-2</v>
      </c>
      <c r="M27" s="7">
        <f>G27*L27</f>
        <v>3.8080000000000003E-2</v>
      </c>
      <c r="N27" s="39" t="s">
        <v>253</v>
      </c>
      <c r="Z27" s="7">
        <f>IF(AQ27="5",BJ27,0)</f>
        <v>0</v>
      </c>
      <c r="AB27" s="7">
        <f>IF(AQ27="1",BH27,0)</f>
        <v>0</v>
      </c>
      <c r="AC27" s="7">
        <f>IF(AQ27="1",BI27,0)</f>
        <v>0</v>
      </c>
      <c r="AD27" s="7">
        <f>IF(AQ27="7",BH27,0)</f>
        <v>0</v>
      </c>
      <c r="AE27" s="7">
        <f>IF(AQ27="7",BI27,0)</f>
        <v>0</v>
      </c>
      <c r="AF27" s="7">
        <f>IF(AQ27="2",BH27,0)</f>
        <v>0</v>
      </c>
      <c r="AG27" s="7">
        <f>IF(AQ27="2",BI27,0)</f>
        <v>0</v>
      </c>
      <c r="AH27" s="7">
        <f>IF(AQ27="0",BJ27,0)</f>
        <v>0</v>
      </c>
      <c r="AI27" s="9" t="s">
        <v>161</v>
      </c>
      <c r="AJ27" s="7">
        <f>IF(AN27=0,K27,0)</f>
        <v>0</v>
      </c>
      <c r="AK27" s="7">
        <f>IF(AN27=15,K27,0)</f>
        <v>0</v>
      </c>
      <c r="AL27" s="7">
        <f>IF(AN27=21,K27,0)</f>
        <v>0</v>
      </c>
      <c r="AN27" s="7">
        <v>21</v>
      </c>
      <c r="AO27" s="7">
        <f>H27*0.805713719256629</f>
        <v>0</v>
      </c>
      <c r="AP27" s="7">
        <f>H27*(1-0.805713719256629)</f>
        <v>0</v>
      </c>
      <c r="AQ27" s="6" t="s">
        <v>234</v>
      </c>
      <c r="AV27" s="7">
        <f>AW27+AX27</f>
        <v>0</v>
      </c>
      <c r="AW27" s="7">
        <f>G27*AO27</f>
        <v>0</v>
      </c>
      <c r="AX27" s="7">
        <f>G27*AP27</f>
        <v>0</v>
      </c>
      <c r="AY27" s="6" t="s">
        <v>27</v>
      </c>
      <c r="AZ27" s="6" t="s">
        <v>123</v>
      </c>
      <c r="BA27" s="9" t="s">
        <v>180</v>
      </c>
      <c r="BC27" s="7">
        <f>AW27+AX27</f>
        <v>0</v>
      </c>
      <c r="BD27" s="7">
        <f>H27/(100-BE27)*100</f>
        <v>0</v>
      </c>
      <c r="BE27" s="7">
        <v>0</v>
      </c>
      <c r="BF27" s="7">
        <f>M27</f>
        <v>3.8080000000000003E-2</v>
      </c>
      <c r="BH27" s="7">
        <f>G27*AO27</f>
        <v>0</v>
      </c>
      <c r="BI27" s="7">
        <f>G27*AP27</f>
        <v>0</v>
      </c>
      <c r="BJ27" s="7">
        <f>G27*H27</f>
        <v>0</v>
      </c>
      <c r="BK27" s="7"/>
      <c r="BL27" s="7">
        <v>766</v>
      </c>
    </row>
    <row r="28" spans="1:64" ht="15" customHeight="1" x14ac:dyDescent="0.35">
      <c r="A28" s="38" t="s">
        <v>134</v>
      </c>
      <c r="B28" s="29" t="s">
        <v>161</v>
      </c>
      <c r="C28" s="45" t="s">
        <v>4</v>
      </c>
      <c r="D28" s="50" t="s">
        <v>255</v>
      </c>
      <c r="E28" s="50"/>
      <c r="F28" s="45" t="s">
        <v>53</v>
      </c>
      <c r="G28" s="7">
        <v>2</v>
      </c>
      <c r="H28" s="7">
        <v>0</v>
      </c>
      <c r="I28" s="7">
        <f>G28*AO28</f>
        <v>0</v>
      </c>
      <c r="J28" s="7">
        <f>G28*AP28</f>
        <v>0</v>
      </c>
      <c r="K28" s="7">
        <f>G28*H28</f>
        <v>0</v>
      </c>
      <c r="L28" s="7">
        <v>0.2</v>
      </c>
      <c r="M28" s="7">
        <f>G28*L28</f>
        <v>0.4</v>
      </c>
      <c r="N28" s="39" t="s">
        <v>253</v>
      </c>
      <c r="Z28" s="7">
        <f>IF(AQ28="5",BJ28,0)</f>
        <v>0</v>
      </c>
      <c r="AB28" s="7">
        <f>IF(AQ28="1",BH28,0)</f>
        <v>0</v>
      </c>
      <c r="AC28" s="7">
        <f>IF(AQ28="1",BI28,0)</f>
        <v>0</v>
      </c>
      <c r="AD28" s="7">
        <f>IF(AQ28="7",BH28,0)</f>
        <v>0</v>
      </c>
      <c r="AE28" s="7">
        <f>IF(AQ28="7",BI28,0)</f>
        <v>0</v>
      </c>
      <c r="AF28" s="7">
        <f>IF(AQ28="2",BH28,0)</f>
        <v>0</v>
      </c>
      <c r="AG28" s="7">
        <f>IF(AQ28="2",BI28,0)</f>
        <v>0</v>
      </c>
      <c r="AH28" s="7">
        <f>IF(AQ28="0",BJ28,0)</f>
        <v>0</v>
      </c>
      <c r="AI28" s="9" t="s">
        <v>161</v>
      </c>
      <c r="AJ28" s="7">
        <f>IF(AN28=0,K28,0)</f>
        <v>0</v>
      </c>
      <c r="AK28" s="7">
        <f>IF(AN28=15,K28,0)</f>
        <v>0</v>
      </c>
      <c r="AL28" s="7">
        <f>IF(AN28=21,K28,0)</f>
        <v>0</v>
      </c>
      <c r="AN28" s="7">
        <v>21</v>
      </c>
      <c r="AO28" s="7">
        <f>H28*0.976610983981693</f>
        <v>0</v>
      </c>
      <c r="AP28" s="7">
        <f>H28*(1-0.976610983981693)</f>
        <v>0</v>
      </c>
      <c r="AQ28" s="6" t="s">
        <v>234</v>
      </c>
      <c r="AV28" s="7">
        <f>AW28+AX28</f>
        <v>0</v>
      </c>
      <c r="AW28" s="7">
        <f>G28*AO28</f>
        <v>0</v>
      </c>
      <c r="AX28" s="7">
        <f>G28*AP28</f>
        <v>0</v>
      </c>
      <c r="AY28" s="6" t="s">
        <v>27</v>
      </c>
      <c r="AZ28" s="6" t="s">
        <v>123</v>
      </c>
      <c r="BA28" s="9" t="s">
        <v>180</v>
      </c>
      <c r="BC28" s="7">
        <f>AW28+AX28</f>
        <v>0</v>
      </c>
      <c r="BD28" s="7">
        <f>H28/(100-BE28)*100</f>
        <v>0</v>
      </c>
      <c r="BE28" s="7">
        <v>0</v>
      </c>
      <c r="BF28" s="7">
        <f>M28</f>
        <v>0.4</v>
      </c>
      <c r="BH28" s="7">
        <f>G28*AO28</f>
        <v>0</v>
      </c>
      <c r="BI28" s="7">
        <f>G28*AP28</f>
        <v>0</v>
      </c>
      <c r="BJ28" s="7">
        <f>G28*H28</f>
        <v>0</v>
      </c>
      <c r="BK28" s="7"/>
      <c r="BL28" s="7">
        <v>766</v>
      </c>
    </row>
    <row r="29" spans="1:64" ht="15" customHeight="1" x14ac:dyDescent="0.35">
      <c r="A29" s="36" t="s">
        <v>161</v>
      </c>
      <c r="B29" s="31" t="s">
        <v>161</v>
      </c>
      <c r="C29" s="31" t="s">
        <v>108</v>
      </c>
      <c r="D29" s="47" t="s">
        <v>65</v>
      </c>
      <c r="E29" s="47"/>
      <c r="F29" s="26" t="s">
        <v>218</v>
      </c>
      <c r="G29" s="26" t="s">
        <v>218</v>
      </c>
      <c r="H29" s="26" t="s">
        <v>218</v>
      </c>
      <c r="I29" s="11">
        <f>SUM(I30:I31)</f>
        <v>0</v>
      </c>
      <c r="J29" s="11">
        <f>SUM(J30:J31)</f>
        <v>0</v>
      </c>
      <c r="K29" s="11">
        <f>SUM(K30:K31)</f>
        <v>0</v>
      </c>
      <c r="L29" s="9" t="s">
        <v>161</v>
      </c>
      <c r="M29" s="11">
        <f>SUM(M30:M31)</f>
        <v>1.11434085</v>
      </c>
      <c r="N29" s="37" t="s">
        <v>161</v>
      </c>
      <c r="AI29" s="9" t="s">
        <v>161</v>
      </c>
      <c r="AS29" s="11">
        <f>SUM(AJ30:AJ31)</f>
        <v>0</v>
      </c>
      <c r="AT29" s="11">
        <f>SUM(AK30:AK31)</f>
        <v>0</v>
      </c>
      <c r="AU29" s="11">
        <f>SUM(AL30:AL31)</f>
        <v>0</v>
      </c>
    </row>
    <row r="30" spans="1:64" ht="15" customHeight="1" x14ac:dyDescent="0.35">
      <c r="A30" s="38" t="s">
        <v>89</v>
      </c>
      <c r="B30" s="29" t="s">
        <v>161</v>
      </c>
      <c r="C30" s="29" t="s">
        <v>12</v>
      </c>
      <c r="D30" s="46" t="s">
        <v>43</v>
      </c>
      <c r="E30" s="46"/>
      <c r="F30" s="29" t="s">
        <v>229</v>
      </c>
      <c r="G30" s="7">
        <v>127.645</v>
      </c>
      <c r="H30" s="7">
        <v>0</v>
      </c>
      <c r="I30" s="7">
        <f>G30*AO30</f>
        <v>0</v>
      </c>
      <c r="J30" s="7">
        <f>G30*AP30</f>
        <v>0</v>
      </c>
      <c r="K30" s="7">
        <f>G30*H30</f>
        <v>0</v>
      </c>
      <c r="L30" s="7">
        <v>4.0000000000000001E-3</v>
      </c>
      <c r="M30" s="7">
        <f>G30*L30</f>
        <v>0.51058000000000003</v>
      </c>
      <c r="N30" s="39" t="s">
        <v>253</v>
      </c>
      <c r="Z30" s="7">
        <f>IF(AQ30="5",BJ30,0)</f>
        <v>0</v>
      </c>
      <c r="AB30" s="7">
        <f>IF(AQ30="1",BH30,0)</f>
        <v>0</v>
      </c>
      <c r="AC30" s="7">
        <f>IF(AQ30="1",BI30,0)</f>
        <v>0</v>
      </c>
      <c r="AD30" s="7">
        <f>IF(AQ30="7",BH30,0)</f>
        <v>0</v>
      </c>
      <c r="AE30" s="7">
        <f>IF(AQ30="7",BI30,0)</f>
        <v>0</v>
      </c>
      <c r="AF30" s="7">
        <f>IF(AQ30="2",BH30,0)</f>
        <v>0</v>
      </c>
      <c r="AG30" s="7">
        <f>IF(AQ30="2",BI30,0)</f>
        <v>0</v>
      </c>
      <c r="AH30" s="7">
        <f>IF(AQ30="0",BJ30,0)</f>
        <v>0</v>
      </c>
      <c r="AI30" s="9" t="s">
        <v>161</v>
      </c>
      <c r="AJ30" s="7">
        <f>IF(AN30=0,K30,0)</f>
        <v>0</v>
      </c>
      <c r="AK30" s="7">
        <f>IF(AN30=15,K30,0)</f>
        <v>0</v>
      </c>
      <c r="AL30" s="7">
        <f>IF(AN30=21,K30,0)</f>
        <v>0</v>
      </c>
      <c r="AN30" s="7">
        <v>21</v>
      </c>
      <c r="AO30" s="7">
        <f>H30*0</f>
        <v>0</v>
      </c>
      <c r="AP30" s="7">
        <f>H30*(1-0)</f>
        <v>0</v>
      </c>
      <c r="AQ30" s="6" t="s">
        <v>234</v>
      </c>
      <c r="AV30" s="7">
        <f>AW30+AX30</f>
        <v>0</v>
      </c>
      <c r="AW30" s="7">
        <f>G30*AO30</f>
        <v>0</v>
      </c>
      <c r="AX30" s="7">
        <f>G30*AP30</f>
        <v>0</v>
      </c>
      <c r="AY30" s="6" t="s">
        <v>61</v>
      </c>
      <c r="AZ30" s="6" t="s">
        <v>123</v>
      </c>
      <c r="BA30" s="9" t="s">
        <v>180</v>
      </c>
      <c r="BC30" s="7">
        <f>AW30+AX30</f>
        <v>0</v>
      </c>
      <c r="BD30" s="7">
        <f>H30/(100-BE30)*100</f>
        <v>0</v>
      </c>
      <c r="BE30" s="7">
        <v>0</v>
      </c>
      <c r="BF30" s="7">
        <f>M30</f>
        <v>0.51058000000000003</v>
      </c>
      <c r="BH30" s="7">
        <f>G30*AO30</f>
        <v>0</v>
      </c>
      <c r="BI30" s="7">
        <f>G30*AP30</f>
        <v>0</v>
      </c>
      <c r="BJ30" s="7">
        <f>G30*H30</f>
        <v>0</v>
      </c>
      <c r="BK30" s="7"/>
      <c r="BL30" s="7">
        <v>767</v>
      </c>
    </row>
    <row r="31" spans="1:64" ht="15" customHeight="1" x14ac:dyDescent="0.35">
      <c r="A31" s="38" t="s">
        <v>20</v>
      </c>
      <c r="B31" s="29" t="s">
        <v>161</v>
      </c>
      <c r="C31" s="29" t="s">
        <v>114</v>
      </c>
      <c r="D31" s="46" t="s">
        <v>81</v>
      </c>
      <c r="E31" s="46"/>
      <c r="F31" s="29" t="s">
        <v>229</v>
      </c>
      <c r="G31" s="7">
        <v>127.645</v>
      </c>
      <c r="H31" s="7">
        <v>0</v>
      </c>
      <c r="I31" s="7">
        <f>G31*AO31</f>
        <v>0</v>
      </c>
      <c r="J31" s="7">
        <f>G31*AP31</f>
        <v>0</v>
      </c>
      <c r="K31" s="7">
        <f>G31*H31</f>
        <v>0</v>
      </c>
      <c r="L31" s="7">
        <v>4.7299999999999998E-3</v>
      </c>
      <c r="M31" s="7">
        <f>G31*L31</f>
        <v>0.6037608499999999</v>
      </c>
      <c r="N31" s="39" t="s">
        <v>253</v>
      </c>
      <c r="Z31" s="7">
        <f>IF(AQ31="5",BJ31,0)</f>
        <v>0</v>
      </c>
      <c r="AB31" s="7">
        <f>IF(AQ31="1",BH31,0)</f>
        <v>0</v>
      </c>
      <c r="AC31" s="7">
        <f>IF(AQ31="1",BI31,0)</f>
        <v>0</v>
      </c>
      <c r="AD31" s="7">
        <f>IF(AQ31="7",BH31,0)</f>
        <v>0</v>
      </c>
      <c r="AE31" s="7">
        <f>IF(AQ31="7",BI31,0)</f>
        <v>0</v>
      </c>
      <c r="AF31" s="7">
        <f>IF(AQ31="2",BH31,0)</f>
        <v>0</v>
      </c>
      <c r="AG31" s="7">
        <f>IF(AQ31="2",BI31,0)</f>
        <v>0</v>
      </c>
      <c r="AH31" s="7">
        <f>IF(AQ31="0",BJ31,0)</f>
        <v>0</v>
      </c>
      <c r="AI31" s="9" t="s">
        <v>161</v>
      </c>
      <c r="AJ31" s="7">
        <f>IF(AN31=0,K31,0)</f>
        <v>0</v>
      </c>
      <c r="AK31" s="7">
        <f>IF(AN31=15,K31,0)</f>
        <v>0</v>
      </c>
      <c r="AL31" s="7">
        <f>IF(AN31=21,K31,0)</f>
        <v>0</v>
      </c>
      <c r="AN31" s="7">
        <v>21</v>
      </c>
      <c r="AO31" s="7">
        <f>H31*0.736456331390291</f>
        <v>0</v>
      </c>
      <c r="AP31" s="7">
        <f>H31*(1-0.736456331390291)</f>
        <v>0</v>
      </c>
      <c r="AQ31" s="6" t="s">
        <v>234</v>
      </c>
      <c r="AV31" s="7">
        <f>AW31+AX31</f>
        <v>0</v>
      </c>
      <c r="AW31" s="7">
        <f>G31*AO31</f>
        <v>0</v>
      </c>
      <c r="AX31" s="7">
        <f>G31*AP31</f>
        <v>0</v>
      </c>
      <c r="AY31" s="6" t="s">
        <v>61</v>
      </c>
      <c r="AZ31" s="6" t="s">
        <v>123</v>
      </c>
      <c r="BA31" s="9" t="s">
        <v>180</v>
      </c>
      <c r="BC31" s="7">
        <f>AW31+AX31</f>
        <v>0</v>
      </c>
      <c r="BD31" s="7">
        <f>H31/(100-BE31)*100</f>
        <v>0</v>
      </c>
      <c r="BE31" s="7">
        <v>0</v>
      </c>
      <c r="BF31" s="7">
        <f>M31</f>
        <v>0.6037608499999999</v>
      </c>
      <c r="BH31" s="7">
        <f>G31*AO31</f>
        <v>0</v>
      </c>
      <c r="BI31" s="7">
        <f>G31*AP31</f>
        <v>0</v>
      </c>
      <c r="BJ31" s="7">
        <f>G31*H31</f>
        <v>0</v>
      </c>
      <c r="BK31" s="7"/>
      <c r="BL31" s="7">
        <v>767</v>
      </c>
    </row>
    <row r="32" spans="1:64" ht="15" customHeight="1" x14ac:dyDescent="0.35">
      <c r="A32" s="36" t="s">
        <v>161</v>
      </c>
      <c r="B32" s="31" t="s">
        <v>161</v>
      </c>
      <c r="C32" s="31" t="s">
        <v>194</v>
      </c>
      <c r="D32" s="47" t="s">
        <v>101</v>
      </c>
      <c r="E32" s="47"/>
      <c r="F32" s="26" t="s">
        <v>218</v>
      </c>
      <c r="G32" s="26" t="s">
        <v>218</v>
      </c>
      <c r="H32" s="26" t="s">
        <v>218</v>
      </c>
      <c r="I32" s="11">
        <f>SUM(I33:I34)</f>
        <v>0</v>
      </c>
      <c r="J32" s="11">
        <f>SUM(J33:J34)</f>
        <v>0</v>
      </c>
      <c r="K32" s="11">
        <f>SUM(K33:K34)</f>
        <v>0</v>
      </c>
      <c r="L32" s="9" t="s">
        <v>161</v>
      </c>
      <c r="M32" s="11">
        <f>SUM(M33:M34)</f>
        <v>2.428868</v>
      </c>
      <c r="N32" s="37" t="s">
        <v>161</v>
      </c>
      <c r="AI32" s="9" t="s">
        <v>161</v>
      </c>
      <c r="AS32" s="11">
        <f>SUM(AJ33:AJ34)</f>
        <v>0</v>
      </c>
      <c r="AT32" s="11">
        <f>SUM(AK33:AK34)</f>
        <v>0</v>
      </c>
      <c r="AU32" s="11">
        <f>SUM(AL33:AL34)</f>
        <v>0</v>
      </c>
    </row>
    <row r="33" spans="1:64" ht="15" customHeight="1" x14ac:dyDescent="0.35">
      <c r="A33" s="38" t="s">
        <v>163</v>
      </c>
      <c r="B33" s="29" t="s">
        <v>161</v>
      </c>
      <c r="C33" s="29" t="s">
        <v>213</v>
      </c>
      <c r="D33" s="46" t="s">
        <v>240</v>
      </c>
      <c r="E33" s="46"/>
      <c r="F33" s="29" t="s">
        <v>229</v>
      </c>
      <c r="G33" s="7">
        <v>33.799999999999997</v>
      </c>
      <c r="H33" s="7">
        <v>0</v>
      </c>
      <c r="I33" s="7">
        <f>G33*AO33</f>
        <v>0</v>
      </c>
      <c r="J33" s="7">
        <f>G33*AP33</f>
        <v>0</v>
      </c>
      <c r="K33" s="7">
        <f>G33*H33</f>
        <v>0</v>
      </c>
      <c r="L33" s="7">
        <v>3.8600000000000001E-3</v>
      </c>
      <c r="M33" s="7">
        <f>G33*L33</f>
        <v>0.130468</v>
      </c>
      <c r="N33" s="39" t="s">
        <v>253</v>
      </c>
      <c r="Z33" s="7">
        <f>IF(AQ33="5",BJ33,0)</f>
        <v>0</v>
      </c>
      <c r="AB33" s="7">
        <f>IF(AQ33="1",BH33,0)</f>
        <v>0</v>
      </c>
      <c r="AC33" s="7">
        <f>IF(AQ33="1",BI33,0)</f>
        <v>0</v>
      </c>
      <c r="AD33" s="7">
        <f>IF(AQ33="7",BH33,0)</f>
        <v>0</v>
      </c>
      <c r="AE33" s="7">
        <f>IF(AQ33="7",BI33,0)</f>
        <v>0</v>
      </c>
      <c r="AF33" s="7">
        <f>IF(AQ33="2",BH33,0)</f>
        <v>0</v>
      </c>
      <c r="AG33" s="7">
        <f>IF(AQ33="2",BI33,0)</f>
        <v>0</v>
      </c>
      <c r="AH33" s="7">
        <f>IF(AQ33="0",BJ33,0)</f>
        <v>0</v>
      </c>
      <c r="AI33" s="9" t="s">
        <v>161</v>
      </c>
      <c r="AJ33" s="7">
        <f>IF(AN33=0,K33,0)</f>
        <v>0</v>
      </c>
      <c r="AK33" s="7">
        <f>IF(AN33=15,K33,0)</f>
        <v>0</v>
      </c>
      <c r="AL33" s="7">
        <f>IF(AN33=21,K33,0)</f>
        <v>0</v>
      </c>
      <c r="AN33" s="7">
        <v>21</v>
      </c>
      <c r="AO33" s="7">
        <f>H33*0.457651812169499</f>
        <v>0</v>
      </c>
      <c r="AP33" s="7">
        <f>H33*(1-0.457651812169499)</f>
        <v>0</v>
      </c>
      <c r="AQ33" s="6" t="s">
        <v>234</v>
      </c>
      <c r="AV33" s="7">
        <f>AW33+AX33</f>
        <v>0</v>
      </c>
      <c r="AW33" s="7">
        <f>G33*AO33</f>
        <v>0</v>
      </c>
      <c r="AX33" s="7">
        <f>G33*AP33</f>
        <v>0</v>
      </c>
      <c r="AY33" s="6" t="s">
        <v>107</v>
      </c>
      <c r="AZ33" s="6" t="s">
        <v>103</v>
      </c>
      <c r="BA33" s="9" t="s">
        <v>180</v>
      </c>
      <c r="BC33" s="7">
        <f>AW33+AX33</f>
        <v>0</v>
      </c>
      <c r="BD33" s="7">
        <f>H33/(100-BE33)*100</f>
        <v>0</v>
      </c>
      <c r="BE33" s="7">
        <v>0</v>
      </c>
      <c r="BF33" s="7">
        <f>M33</f>
        <v>0.130468</v>
      </c>
      <c r="BH33" s="7">
        <f>G33*AO33</f>
        <v>0</v>
      </c>
      <c r="BI33" s="7">
        <f>G33*AP33</f>
        <v>0</v>
      </c>
      <c r="BJ33" s="7">
        <f>G33*H33</f>
        <v>0</v>
      </c>
      <c r="BK33" s="7"/>
      <c r="BL33" s="7">
        <v>781</v>
      </c>
    </row>
    <row r="34" spans="1:64" ht="15" customHeight="1" x14ac:dyDescent="0.35">
      <c r="A34" s="38" t="s">
        <v>190</v>
      </c>
      <c r="B34" s="29" t="s">
        <v>161</v>
      </c>
      <c r="C34" s="29" t="s">
        <v>91</v>
      </c>
      <c r="D34" s="46" t="s">
        <v>252</v>
      </c>
      <c r="E34" s="46"/>
      <c r="F34" s="29" t="s">
        <v>229</v>
      </c>
      <c r="G34" s="7">
        <v>33.799999999999997</v>
      </c>
      <c r="H34" s="7">
        <v>0</v>
      </c>
      <c r="I34" s="7">
        <f>G34*AO34</f>
        <v>0</v>
      </c>
      <c r="J34" s="7">
        <f>G34*AP34</f>
        <v>0</v>
      </c>
      <c r="K34" s="7">
        <f>G34*H34</f>
        <v>0</v>
      </c>
      <c r="L34" s="7">
        <v>6.8000000000000005E-2</v>
      </c>
      <c r="M34" s="7">
        <f>G34*L34</f>
        <v>2.2984</v>
      </c>
      <c r="N34" s="39" t="s">
        <v>253</v>
      </c>
      <c r="Z34" s="7">
        <f>IF(AQ34="5",BJ34,0)</f>
        <v>0</v>
      </c>
      <c r="AB34" s="7">
        <f>IF(AQ34="1",BH34,0)</f>
        <v>0</v>
      </c>
      <c r="AC34" s="7">
        <f>IF(AQ34="1",BI34,0)</f>
        <v>0</v>
      </c>
      <c r="AD34" s="7">
        <f>IF(AQ34="7",BH34,0)</f>
        <v>0</v>
      </c>
      <c r="AE34" s="7">
        <f>IF(AQ34="7",BI34,0)</f>
        <v>0</v>
      </c>
      <c r="AF34" s="7">
        <f>IF(AQ34="2",BH34,0)</f>
        <v>0</v>
      </c>
      <c r="AG34" s="7">
        <f>IF(AQ34="2",BI34,0)</f>
        <v>0</v>
      </c>
      <c r="AH34" s="7">
        <f>IF(AQ34="0",BJ34,0)</f>
        <v>0</v>
      </c>
      <c r="AI34" s="9" t="s">
        <v>161</v>
      </c>
      <c r="AJ34" s="7">
        <f>IF(AN34=0,K34,0)</f>
        <v>0</v>
      </c>
      <c r="AK34" s="7">
        <f>IF(AN34=15,K34,0)</f>
        <v>0</v>
      </c>
      <c r="AL34" s="7">
        <f>IF(AN34=21,K34,0)</f>
        <v>0</v>
      </c>
      <c r="AN34" s="7">
        <v>21</v>
      </c>
      <c r="AO34" s="7">
        <f>H34*0</f>
        <v>0</v>
      </c>
      <c r="AP34" s="7">
        <f>H34*(1-0)</f>
        <v>0</v>
      </c>
      <c r="AQ34" s="6" t="s">
        <v>234</v>
      </c>
      <c r="AV34" s="7">
        <f>AW34+AX34</f>
        <v>0</v>
      </c>
      <c r="AW34" s="7">
        <f>G34*AO34</f>
        <v>0</v>
      </c>
      <c r="AX34" s="7">
        <f>G34*AP34</f>
        <v>0</v>
      </c>
      <c r="AY34" s="6" t="s">
        <v>107</v>
      </c>
      <c r="AZ34" s="6" t="s">
        <v>103</v>
      </c>
      <c r="BA34" s="9" t="s">
        <v>180</v>
      </c>
      <c r="BC34" s="7">
        <f>AW34+AX34</f>
        <v>0</v>
      </c>
      <c r="BD34" s="7">
        <f>H34/(100-BE34)*100</f>
        <v>0</v>
      </c>
      <c r="BE34" s="7">
        <v>0</v>
      </c>
      <c r="BF34" s="7">
        <f>M34</f>
        <v>2.2984</v>
      </c>
      <c r="BH34" s="7">
        <f>G34*AO34</f>
        <v>0</v>
      </c>
      <c r="BI34" s="7">
        <f>G34*AP34</f>
        <v>0</v>
      </c>
      <c r="BJ34" s="7">
        <f>G34*H34</f>
        <v>0</v>
      </c>
      <c r="BK34" s="7"/>
      <c r="BL34" s="7">
        <v>781</v>
      </c>
    </row>
    <row r="35" spans="1:64" ht="15" customHeight="1" x14ac:dyDescent="0.35">
      <c r="A35" s="36" t="s">
        <v>161</v>
      </c>
      <c r="B35" s="31" t="s">
        <v>161</v>
      </c>
      <c r="C35" s="31" t="s">
        <v>131</v>
      </c>
      <c r="D35" s="47" t="s">
        <v>189</v>
      </c>
      <c r="E35" s="47"/>
      <c r="F35" s="26" t="s">
        <v>218</v>
      </c>
      <c r="G35" s="26" t="s">
        <v>218</v>
      </c>
      <c r="H35" s="26" t="s">
        <v>218</v>
      </c>
      <c r="I35" s="11">
        <f>SUM(I36:I36)</f>
        <v>0</v>
      </c>
      <c r="J35" s="11">
        <f>SUM(J36:J36)</f>
        <v>0</v>
      </c>
      <c r="K35" s="11">
        <f>SUM(K36:K36)</f>
        <v>0</v>
      </c>
      <c r="L35" s="9" t="s">
        <v>161</v>
      </c>
      <c r="M35" s="11">
        <f>SUM(M36:M36)</f>
        <v>4.8600000000000006E-3</v>
      </c>
      <c r="N35" s="37" t="s">
        <v>161</v>
      </c>
      <c r="AI35" s="9" t="s">
        <v>161</v>
      </c>
      <c r="AS35" s="11">
        <f>SUM(AJ36:AJ36)</f>
        <v>0</v>
      </c>
      <c r="AT35" s="11">
        <f>SUM(AK36:AK36)</f>
        <v>0</v>
      </c>
      <c r="AU35" s="11">
        <f>SUM(AL36:AL36)</f>
        <v>0</v>
      </c>
    </row>
    <row r="36" spans="1:64" ht="15" customHeight="1" x14ac:dyDescent="0.35">
      <c r="A36" s="38" t="s">
        <v>145</v>
      </c>
      <c r="B36" s="29" t="s">
        <v>161</v>
      </c>
      <c r="C36" s="29" t="s">
        <v>100</v>
      </c>
      <c r="D36" s="46" t="s">
        <v>56</v>
      </c>
      <c r="E36" s="46"/>
      <c r="F36" s="29" t="s">
        <v>229</v>
      </c>
      <c r="G36" s="7">
        <v>54</v>
      </c>
      <c r="H36" s="7">
        <v>0</v>
      </c>
      <c r="I36" s="7">
        <f>G36*AO36</f>
        <v>0</v>
      </c>
      <c r="J36" s="7">
        <f>G36*AP36</f>
        <v>0</v>
      </c>
      <c r="K36" s="7">
        <f>G36*H36</f>
        <v>0</v>
      </c>
      <c r="L36" s="7">
        <v>9.0000000000000006E-5</v>
      </c>
      <c r="M36" s="7">
        <f>G36*L36</f>
        <v>4.8600000000000006E-3</v>
      </c>
      <c r="N36" s="39" t="s">
        <v>253</v>
      </c>
      <c r="Z36" s="7">
        <f>IF(AQ36="5",BJ36,0)</f>
        <v>0</v>
      </c>
      <c r="AB36" s="7">
        <f>IF(AQ36="1",BH36,0)</f>
        <v>0</v>
      </c>
      <c r="AC36" s="7">
        <f>IF(AQ36="1",BI36,0)</f>
        <v>0</v>
      </c>
      <c r="AD36" s="7">
        <f>IF(AQ36="7",BH36,0)</f>
        <v>0</v>
      </c>
      <c r="AE36" s="7">
        <f>IF(AQ36="7",BI36,0)</f>
        <v>0</v>
      </c>
      <c r="AF36" s="7">
        <f>IF(AQ36="2",BH36,0)</f>
        <v>0</v>
      </c>
      <c r="AG36" s="7">
        <f>IF(AQ36="2",BI36,0)</f>
        <v>0</v>
      </c>
      <c r="AH36" s="7">
        <f>IF(AQ36="0",BJ36,0)</f>
        <v>0</v>
      </c>
      <c r="AI36" s="9" t="s">
        <v>161</v>
      </c>
      <c r="AJ36" s="7">
        <f>IF(AN36=0,K36,0)</f>
        <v>0</v>
      </c>
      <c r="AK36" s="7">
        <f>IF(AN36=15,K36,0)</f>
        <v>0</v>
      </c>
      <c r="AL36" s="7">
        <f>IF(AN36=21,K36,0)</f>
        <v>0</v>
      </c>
      <c r="AN36" s="7">
        <v>21</v>
      </c>
      <c r="AO36" s="7">
        <f>H36*0.127600430416069</f>
        <v>0</v>
      </c>
      <c r="AP36" s="7">
        <f>H36*(1-0.127600430416069)</f>
        <v>0</v>
      </c>
      <c r="AQ36" s="6" t="s">
        <v>234</v>
      </c>
      <c r="AV36" s="7">
        <f>AW36+AX36</f>
        <v>0</v>
      </c>
      <c r="AW36" s="7">
        <f>G36*AO36</f>
        <v>0</v>
      </c>
      <c r="AX36" s="7">
        <f>G36*AP36</f>
        <v>0</v>
      </c>
      <c r="AY36" s="6" t="s">
        <v>51</v>
      </c>
      <c r="AZ36" s="6" t="s">
        <v>103</v>
      </c>
      <c r="BA36" s="9" t="s">
        <v>180</v>
      </c>
      <c r="BC36" s="7">
        <f>AW36+AX36</f>
        <v>0</v>
      </c>
      <c r="BD36" s="7">
        <f>H36/(100-BE36)*100</f>
        <v>0</v>
      </c>
      <c r="BE36" s="7">
        <v>0</v>
      </c>
      <c r="BF36" s="7">
        <f>M36</f>
        <v>4.8600000000000006E-3</v>
      </c>
      <c r="BH36" s="7">
        <f>G36*AO36</f>
        <v>0</v>
      </c>
      <c r="BI36" s="7">
        <f>G36*AP36</f>
        <v>0</v>
      </c>
      <c r="BJ36" s="7">
        <f>G36*H36</f>
        <v>0</v>
      </c>
      <c r="BK36" s="7"/>
      <c r="BL36" s="7">
        <v>783</v>
      </c>
    </row>
    <row r="37" spans="1:64" ht="15" customHeight="1" x14ac:dyDescent="0.35">
      <c r="A37" s="36" t="s">
        <v>161</v>
      </c>
      <c r="B37" s="31" t="s">
        <v>161</v>
      </c>
      <c r="C37" s="31" t="s">
        <v>126</v>
      </c>
      <c r="D37" s="47" t="s">
        <v>3</v>
      </c>
      <c r="E37" s="47"/>
      <c r="F37" s="26" t="s">
        <v>218</v>
      </c>
      <c r="G37" s="26" t="s">
        <v>218</v>
      </c>
      <c r="H37" s="26" t="s">
        <v>218</v>
      </c>
      <c r="I37" s="11">
        <f>SUM(I38:I39)</f>
        <v>0</v>
      </c>
      <c r="J37" s="11">
        <f>SUM(J38:J39)</f>
        <v>0</v>
      </c>
      <c r="K37" s="11">
        <f>SUM(K38:K39)</f>
        <v>0</v>
      </c>
      <c r="L37" s="9" t="s">
        <v>161</v>
      </c>
      <c r="M37" s="11">
        <f>SUM(M38:M39)</f>
        <v>5.537500000000001E-4</v>
      </c>
      <c r="N37" s="40"/>
      <c r="AI37" s="9" t="s">
        <v>161</v>
      </c>
      <c r="AS37" s="11">
        <f>SUM(AJ38:AJ39)</f>
        <v>0</v>
      </c>
      <c r="AT37" s="11">
        <f>SUM(AK38:AK39)</f>
        <v>0</v>
      </c>
      <c r="AU37" s="11">
        <f>SUM(AL38:AL39)</f>
        <v>0</v>
      </c>
    </row>
    <row r="38" spans="1:64" ht="15" customHeight="1" x14ac:dyDescent="0.35">
      <c r="A38" s="38" t="s">
        <v>8</v>
      </c>
      <c r="B38" s="29" t="s">
        <v>161</v>
      </c>
      <c r="C38" s="29" t="s">
        <v>233</v>
      </c>
      <c r="D38" s="46" t="s">
        <v>26</v>
      </c>
      <c r="E38" s="46"/>
      <c r="F38" s="29" t="s">
        <v>229</v>
      </c>
      <c r="G38" s="7">
        <v>59.274999999999999</v>
      </c>
      <c r="H38" s="7">
        <v>0</v>
      </c>
      <c r="I38" s="7">
        <f>G38*AO38</f>
        <v>0</v>
      </c>
      <c r="J38" s="7">
        <f>G38*AP38</f>
        <v>0</v>
      </c>
      <c r="K38" s="7">
        <f>G38*H38</f>
        <v>0</v>
      </c>
      <c r="L38" s="7">
        <v>0</v>
      </c>
      <c r="M38" s="7">
        <f>G38*L38</f>
        <v>0</v>
      </c>
      <c r="N38" s="39" t="s">
        <v>253</v>
      </c>
      <c r="Z38" s="7">
        <f>IF(AQ38="5",BJ38,0)</f>
        <v>0</v>
      </c>
      <c r="AB38" s="7">
        <f>IF(AQ38="1",BH38,0)</f>
        <v>0</v>
      </c>
      <c r="AC38" s="7">
        <f>IF(AQ38="1",BI38,0)</f>
        <v>0</v>
      </c>
      <c r="AD38" s="7">
        <f>IF(AQ38="7",BH38,0)</f>
        <v>0</v>
      </c>
      <c r="AE38" s="7">
        <f>IF(AQ38="7",BI38,0)</f>
        <v>0</v>
      </c>
      <c r="AF38" s="7">
        <f>IF(AQ38="2",BH38,0)</f>
        <v>0</v>
      </c>
      <c r="AG38" s="7">
        <f>IF(AQ38="2",BI38,0)</f>
        <v>0</v>
      </c>
      <c r="AH38" s="7">
        <f>IF(AQ38="0",BJ38,0)</f>
        <v>0</v>
      </c>
      <c r="AI38" s="9" t="s">
        <v>161</v>
      </c>
      <c r="AJ38" s="7">
        <f>IF(AN38=0,K38,0)</f>
        <v>0</v>
      </c>
      <c r="AK38" s="7">
        <f>IF(AN38=15,K38,0)</f>
        <v>0</v>
      </c>
      <c r="AL38" s="7">
        <f>IF(AN38=21,K38,0)</f>
        <v>0</v>
      </c>
      <c r="AN38" s="7">
        <v>21</v>
      </c>
      <c r="AO38" s="7">
        <f>H38*0.00276451633418838</f>
        <v>0</v>
      </c>
      <c r="AP38" s="7">
        <f>H38*(1-0.00276451633418838)</f>
        <v>0</v>
      </c>
      <c r="AQ38" s="6" t="s">
        <v>234</v>
      </c>
      <c r="AV38" s="7">
        <f>AW38+AX38</f>
        <v>0</v>
      </c>
      <c r="AW38" s="7">
        <f>G38*AO38</f>
        <v>0</v>
      </c>
      <c r="AX38" s="7">
        <f>G38*AP38</f>
        <v>0</v>
      </c>
      <c r="AY38" s="6" t="s">
        <v>209</v>
      </c>
      <c r="AZ38" s="6" t="s">
        <v>103</v>
      </c>
      <c r="BA38" s="9" t="s">
        <v>180</v>
      </c>
      <c r="BC38" s="7">
        <f>AW38+AX38</f>
        <v>0</v>
      </c>
      <c r="BD38" s="7">
        <f>H38/(100-BE38)*100</f>
        <v>0</v>
      </c>
      <c r="BE38" s="7">
        <v>0</v>
      </c>
      <c r="BF38" s="7">
        <f>M38</f>
        <v>0</v>
      </c>
      <c r="BH38" s="7">
        <f>G38*AO38</f>
        <v>0</v>
      </c>
      <c r="BI38" s="7">
        <f>G38*AP38</f>
        <v>0</v>
      </c>
      <c r="BJ38" s="7">
        <f>G38*H38</f>
        <v>0</v>
      </c>
      <c r="BK38" s="7"/>
      <c r="BL38" s="7">
        <v>784</v>
      </c>
    </row>
    <row r="39" spans="1:64" ht="15" customHeight="1" x14ac:dyDescent="0.35">
      <c r="A39" s="38" t="s">
        <v>165</v>
      </c>
      <c r="B39" s="29" t="s">
        <v>161</v>
      </c>
      <c r="C39" s="29" t="s">
        <v>78</v>
      </c>
      <c r="D39" s="46" t="s">
        <v>212</v>
      </c>
      <c r="E39" s="46"/>
      <c r="F39" s="29" t="s">
        <v>229</v>
      </c>
      <c r="G39" s="7">
        <v>55.375</v>
      </c>
      <c r="H39" s="7">
        <v>0</v>
      </c>
      <c r="I39" s="7">
        <f>G39*AO39</f>
        <v>0</v>
      </c>
      <c r="J39" s="7">
        <f>G39*AP39</f>
        <v>0</v>
      </c>
      <c r="K39" s="7">
        <f>G39*H39</f>
        <v>0</v>
      </c>
      <c r="L39" s="7">
        <v>1.0000000000000001E-5</v>
      </c>
      <c r="M39" s="7">
        <f>G39*L39</f>
        <v>5.537500000000001E-4</v>
      </c>
      <c r="N39" s="39" t="s">
        <v>253</v>
      </c>
      <c r="Z39" s="7">
        <f>IF(AQ39="5",BJ39,0)</f>
        <v>0</v>
      </c>
      <c r="AB39" s="7">
        <f>IF(AQ39="1",BH39,0)</f>
        <v>0</v>
      </c>
      <c r="AC39" s="7">
        <f>IF(AQ39="1",BI39,0)</f>
        <v>0</v>
      </c>
      <c r="AD39" s="7">
        <f>IF(AQ39="7",BH39,0)</f>
        <v>0</v>
      </c>
      <c r="AE39" s="7">
        <f>IF(AQ39="7",BI39,0)</f>
        <v>0</v>
      </c>
      <c r="AF39" s="7">
        <f>IF(AQ39="2",BH39,0)</f>
        <v>0</v>
      </c>
      <c r="AG39" s="7">
        <f>IF(AQ39="2",BI39,0)</f>
        <v>0</v>
      </c>
      <c r="AH39" s="7">
        <f>IF(AQ39="0",BJ39,0)</f>
        <v>0</v>
      </c>
      <c r="AI39" s="9" t="s">
        <v>161</v>
      </c>
      <c r="AJ39" s="7">
        <f>IF(AN39=0,K39,0)</f>
        <v>0</v>
      </c>
      <c r="AK39" s="7">
        <f>IF(AN39=15,K39,0)</f>
        <v>0</v>
      </c>
      <c r="AL39" s="7">
        <f>IF(AN39=21,K39,0)</f>
        <v>0</v>
      </c>
      <c r="AN39" s="7">
        <v>21</v>
      </c>
      <c r="AO39" s="7">
        <f>H39*0.0751023352156437</f>
        <v>0</v>
      </c>
      <c r="AP39" s="7">
        <f>H39*(1-0.0751023352156437)</f>
        <v>0</v>
      </c>
      <c r="AQ39" s="6" t="s">
        <v>234</v>
      </c>
      <c r="AV39" s="7">
        <f>AW39+AX39</f>
        <v>0</v>
      </c>
      <c r="AW39" s="7">
        <f>G39*AO39</f>
        <v>0</v>
      </c>
      <c r="AX39" s="7">
        <f>G39*AP39</f>
        <v>0</v>
      </c>
      <c r="AY39" s="6" t="s">
        <v>209</v>
      </c>
      <c r="AZ39" s="6" t="s">
        <v>103</v>
      </c>
      <c r="BA39" s="9" t="s">
        <v>180</v>
      </c>
      <c r="BC39" s="7">
        <f>AW39+AX39</f>
        <v>0</v>
      </c>
      <c r="BD39" s="7">
        <f>H39/(100-BE39)*100</f>
        <v>0</v>
      </c>
      <c r="BE39" s="7">
        <v>0</v>
      </c>
      <c r="BF39" s="7">
        <f>M39</f>
        <v>5.537500000000001E-4</v>
      </c>
      <c r="BH39" s="7">
        <f>G39*AO39</f>
        <v>0</v>
      </c>
      <c r="BI39" s="7">
        <f>G39*AP39</f>
        <v>0</v>
      </c>
      <c r="BJ39" s="7">
        <f>G39*H39</f>
        <v>0</v>
      </c>
      <c r="BK39" s="7"/>
      <c r="BL39" s="7">
        <v>784</v>
      </c>
    </row>
    <row r="40" spans="1:64" ht="15" customHeight="1" x14ac:dyDescent="0.35">
      <c r="A40" s="36" t="s">
        <v>161</v>
      </c>
      <c r="B40" s="31" t="s">
        <v>161</v>
      </c>
      <c r="C40" s="31" t="s">
        <v>246</v>
      </c>
      <c r="D40" s="47" t="s">
        <v>71</v>
      </c>
      <c r="E40" s="47"/>
      <c r="F40" s="26" t="s">
        <v>218</v>
      </c>
      <c r="G40" s="26" t="s">
        <v>218</v>
      </c>
      <c r="H40" s="26" t="s">
        <v>218</v>
      </c>
      <c r="I40" s="11">
        <f>SUM(I41:I42)</f>
        <v>0</v>
      </c>
      <c r="J40" s="11">
        <f>SUM(J41:J42)</f>
        <v>0</v>
      </c>
      <c r="K40" s="11">
        <f>SUM(K41:K42)</f>
        <v>0</v>
      </c>
      <c r="L40" s="9" t="s">
        <v>161</v>
      </c>
      <c r="M40" s="11">
        <f>SUM(M41:M42)</f>
        <v>0</v>
      </c>
      <c r="N40" s="37" t="s">
        <v>161</v>
      </c>
      <c r="AI40" s="9" t="s">
        <v>161</v>
      </c>
      <c r="AS40" s="11">
        <f>SUM(AJ41:AJ42)</f>
        <v>0</v>
      </c>
      <c r="AT40" s="11">
        <f>SUM(AK41:AK42)</f>
        <v>0</v>
      </c>
      <c r="AU40" s="11">
        <f>SUM(AL41:AL42)</f>
        <v>0</v>
      </c>
    </row>
    <row r="41" spans="1:64" ht="15" customHeight="1" x14ac:dyDescent="0.35">
      <c r="A41" s="38" t="s">
        <v>222</v>
      </c>
      <c r="B41" s="29" t="s">
        <v>161</v>
      </c>
      <c r="C41" s="29" t="s">
        <v>186</v>
      </c>
      <c r="D41" s="46" t="s">
        <v>144</v>
      </c>
      <c r="E41" s="46"/>
      <c r="F41" s="29" t="s">
        <v>105</v>
      </c>
      <c r="G41" s="7">
        <v>15</v>
      </c>
      <c r="H41" s="7">
        <v>0</v>
      </c>
      <c r="I41" s="7">
        <f>G41*AO41</f>
        <v>0</v>
      </c>
      <c r="J41" s="7">
        <f>G41*AP41</f>
        <v>0</v>
      </c>
      <c r="K41" s="7">
        <f>G41*H41</f>
        <v>0</v>
      </c>
      <c r="L41" s="7">
        <v>0</v>
      </c>
      <c r="M41" s="7">
        <f>G41*L41</f>
        <v>0</v>
      </c>
      <c r="N41" s="39" t="s">
        <v>253</v>
      </c>
      <c r="Z41" s="7">
        <f>IF(AQ41="5",BJ41,0)</f>
        <v>0</v>
      </c>
      <c r="AB41" s="7">
        <f>IF(AQ41="1",BH41,0)</f>
        <v>0</v>
      </c>
      <c r="AC41" s="7">
        <f>IF(AQ41="1",BI41,0)</f>
        <v>0</v>
      </c>
      <c r="AD41" s="7">
        <f>IF(AQ41="7",BH41,0)</f>
        <v>0</v>
      </c>
      <c r="AE41" s="7">
        <f>IF(AQ41="7",BI41,0)</f>
        <v>0</v>
      </c>
      <c r="AF41" s="7">
        <f>IF(AQ41="2",BH41,0)</f>
        <v>0</v>
      </c>
      <c r="AG41" s="7">
        <f>IF(AQ41="2",BI41,0)</f>
        <v>0</v>
      </c>
      <c r="AH41" s="7">
        <f>IF(AQ41="0",BJ41,0)</f>
        <v>0</v>
      </c>
      <c r="AI41" s="9" t="s">
        <v>161</v>
      </c>
      <c r="AJ41" s="7">
        <f>IF(AN41=0,K41,0)</f>
        <v>0</v>
      </c>
      <c r="AK41" s="7">
        <f>IF(AN41=15,K41,0)</f>
        <v>0</v>
      </c>
      <c r="AL41" s="7">
        <f>IF(AN41=21,K41,0)</f>
        <v>0</v>
      </c>
      <c r="AN41" s="7">
        <v>21</v>
      </c>
      <c r="AO41" s="7">
        <f>H41*0</f>
        <v>0</v>
      </c>
      <c r="AP41" s="7">
        <f>H41*(1-0)</f>
        <v>0</v>
      </c>
      <c r="AQ41" s="6" t="s">
        <v>232</v>
      </c>
      <c r="AV41" s="7">
        <f>AW41+AX41</f>
        <v>0</v>
      </c>
      <c r="AW41" s="7">
        <f>G41*AO41</f>
        <v>0</v>
      </c>
      <c r="AX41" s="7">
        <f>G41*AP41</f>
        <v>0</v>
      </c>
      <c r="AY41" s="6" t="s">
        <v>60</v>
      </c>
      <c r="AZ41" s="6" t="s">
        <v>80</v>
      </c>
      <c r="BA41" s="9" t="s">
        <v>180</v>
      </c>
      <c r="BC41" s="7">
        <f>AW41+AX41</f>
        <v>0</v>
      </c>
      <c r="BD41" s="7">
        <f>H41/(100-BE41)*100</f>
        <v>0</v>
      </c>
      <c r="BE41" s="7">
        <v>0</v>
      </c>
      <c r="BF41" s="7">
        <f>M41</f>
        <v>0</v>
      </c>
      <c r="BH41" s="7">
        <f>G41*AO41</f>
        <v>0</v>
      </c>
      <c r="BI41" s="7">
        <f>G41*AP41</f>
        <v>0</v>
      </c>
      <c r="BJ41" s="7">
        <f>G41*H41</f>
        <v>0</v>
      </c>
      <c r="BK41" s="7"/>
      <c r="BL41" s="7">
        <v>90</v>
      </c>
    </row>
    <row r="42" spans="1:64" ht="15" customHeight="1" x14ac:dyDescent="0.35">
      <c r="A42" s="38" t="s">
        <v>106</v>
      </c>
      <c r="B42" s="29" t="s">
        <v>161</v>
      </c>
      <c r="C42" s="29" t="s">
        <v>179</v>
      </c>
      <c r="D42" s="46" t="s">
        <v>109</v>
      </c>
      <c r="E42" s="46"/>
      <c r="F42" s="29" t="s">
        <v>105</v>
      </c>
      <c r="G42" s="7">
        <v>6</v>
      </c>
      <c r="H42" s="7">
        <v>0</v>
      </c>
      <c r="I42" s="7">
        <f>G42*AO42</f>
        <v>0</v>
      </c>
      <c r="J42" s="7">
        <f>G42*AP42</f>
        <v>0</v>
      </c>
      <c r="K42" s="7">
        <f>G42*H42</f>
        <v>0</v>
      </c>
      <c r="L42" s="7">
        <v>0</v>
      </c>
      <c r="M42" s="7">
        <f>G42*L42</f>
        <v>0</v>
      </c>
      <c r="N42" s="39" t="s">
        <v>253</v>
      </c>
      <c r="Z42" s="7">
        <f>IF(AQ42="5",BJ42,0)</f>
        <v>0</v>
      </c>
      <c r="AB42" s="7">
        <f>IF(AQ42="1",BH42,0)</f>
        <v>0</v>
      </c>
      <c r="AC42" s="7">
        <f>IF(AQ42="1",BI42,0)</f>
        <v>0</v>
      </c>
      <c r="AD42" s="7">
        <f>IF(AQ42="7",BH42,0)</f>
        <v>0</v>
      </c>
      <c r="AE42" s="7">
        <f>IF(AQ42="7",BI42,0)</f>
        <v>0</v>
      </c>
      <c r="AF42" s="7">
        <f>IF(AQ42="2",BH42,0)</f>
        <v>0</v>
      </c>
      <c r="AG42" s="7">
        <f>IF(AQ42="2",BI42,0)</f>
        <v>0</v>
      </c>
      <c r="AH42" s="7">
        <f>IF(AQ42="0",BJ42,0)</f>
        <v>0</v>
      </c>
      <c r="AI42" s="9" t="s">
        <v>161</v>
      </c>
      <c r="AJ42" s="7">
        <f>IF(AN42=0,K42,0)</f>
        <v>0</v>
      </c>
      <c r="AK42" s="7">
        <f>IF(AN42=15,K42,0)</f>
        <v>0</v>
      </c>
      <c r="AL42" s="7">
        <f>IF(AN42=21,K42,0)</f>
        <v>0</v>
      </c>
      <c r="AN42" s="7">
        <v>21</v>
      </c>
      <c r="AO42" s="7">
        <f>H42*0</f>
        <v>0</v>
      </c>
      <c r="AP42" s="7">
        <f>H42*(1-0)</f>
        <v>0</v>
      </c>
      <c r="AQ42" s="6" t="s">
        <v>232</v>
      </c>
      <c r="AV42" s="7">
        <f>AW42+AX42</f>
        <v>0</v>
      </c>
      <c r="AW42" s="7">
        <f>G42*AO42</f>
        <v>0</v>
      </c>
      <c r="AX42" s="7">
        <f>G42*AP42</f>
        <v>0</v>
      </c>
      <c r="AY42" s="6" t="s">
        <v>60</v>
      </c>
      <c r="AZ42" s="6" t="s">
        <v>80</v>
      </c>
      <c r="BA42" s="9" t="s">
        <v>180</v>
      </c>
      <c r="BC42" s="7">
        <f>AW42+AX42</f>
        <v>0</v>
      </c>
      <c r="BD42" s="7">
        <f>H42/(100-BE42)*100</f>
        <v>0</v>
      </c>
      <c r="BE42" s="7">
        <v>0</v>
      </c>
      <c r="BF42" s="7">
        <f>M42</f>
        <v>0</v>
      </c>
      <c r="BH42" s="7">
        <f>G42*AO42</f>
        <v>0</v>
      </c>
      <c r="BI42" s="7">
        <f>G42*AP42</f>
        <v>0</v>
      </c>
      <c r="BJ42" s="7">
        <f>G42*H42</f>
        <v>0</v>
      </c>
      <c r="BK42" s="7"/>
      <c r="BL42" s="7">
        <v>90</v>
      </c>
    </row>
    <row r="43" spans="1:64" ht="15" customHeight="1" x14ac:dyDescent="0.35">
      <c r="A43" s="36" t="s">
        <v>161</v>
      </c>
      <c r="B43" s="31" t="s">
        <v>161</v>
      </c>
      <c r="C43" s="31" t="s">
        <v>30</v>
      </c>
      <c r="D43" s="47" t="s">
        <v>164</v>
      </c>
      <c r="E43" s="47"/>
      <c r="F43" s="26" t="s">
        <v>218</v>
      </c>
      <c r="G43" s="26" t="s">
        <v>218</v>
      </c>
      <c r="H43" s="26" t="s">
        <v>218</v>
      </c>
      <c r="I43" s="11">
        <f>SUM(I44:I44)</f>
        <v>0</v>
      </c>
      <c r="J43" s="11">
        <f>SUM(J44:J44)</f>
        <v>0</v>
      </c>
      <c r="K43" s="11">
        <f>SUM(K44:K44)</f>
        <v>0</v>
      </c>
      <c r="L43" s="9" t="s">
        <v>161</v>
      </c>
      <c r="M43" s="11">
        <f>SUM(M44:M44)</f>
        <v>2.528E-2</v>
      </c>
      <c r="N43" s="37" t="s">
        <v>161</v>
      </c>
      <c r="AI43" s="9" t="s">
        <v>161</v>
      </c>
      <c r="AS43" s="11">
        <f>SUM(AJ44:AJ44)</f>
        <v>0</v>
      </c>
      <c r="AT43" s="11">
        <f>SUM(AK44:AK44)</f>
        <v>0</v>
      </c>
      <c r="AU43" s="11">
        <f>SUM(AL44:AL44)</f>
        <v>0</v>
      </c>
    </row>
    <row r="44" spans="1:64" ht="15" customHeight="1" x14ac:dyDescent="0.35">
      <c r="A44" s="38" t="s">
        <v>22</v>
      </c>
      <c r="B44" s="29" t="s">
        <v>161</v>
      </c>
      <c r="C44" s="29" t="s">
        <v>243</v>
      </c>
      <c r="D44" s="46" t="s">
        <v>192</v>
      </c>
      <c r="E44" s="46"/>
      <c r="F44" s="29" t="s">
        <v>229</v>
      </c>
      <c r="G44" s="7">
        <v>16</v>
      </c>
      <c r="H44" s="7">
        <v>0</v>
      </c>
      <c r="I44" s="7">
        <f>G44*AO44</f>
        <v>0</v>
      </c>
      <c r="J44" s="7">
        <f>G44*AP44</f>
        <v>0</v>
      </c>
      <c r="K44" s="7">
        <f>G44*H44</f>
        <v>0</v>
      </c>
      <c r="L44" s="7">
        <v>1.58E-3</v>
      </c>
      <c r="M44" s="7">
        <f>G44*L44</f>
        <v>2.528E-2</v>
      </c>
      <c r="N44" s="39" t="s">
        <v>253</v>
      </c>
      <c r="Z44" s="7">
        <f>IF(AQ44="5",BJ44,0)</f>
        <v>0</v>
      </c>
      <c r="AB44" s="7">
        <f>IF(AQ44="1",BH44,0)</f>
        <v>0</v>
      </c>
      <c r="AC44" s="7">
        <f>IF(AQ44="1",BI44,0)</f>
        <v>0</v>
      </c>
      <c r="AD44" s="7">
        <f>IF(AQ44="7",BH44,0)</f>
        <v>0</v>
      </c>
      <c r="AE44" s="7">
        <f>IF(AQ44="7",BI44,0)</f>
        <v>0</v>
      </c>
      <c r="AF44" s="7">
        <f>IF(AQ44="2",BH44,0)</f>
        <v>0</v>
      </c>
      <c r="AG44" s="7">
        <f>IF(AQ44="2",BI44,0)</f>
        <v>0</v>
      </c>
      <c r="AH44" s="7">
        <f>IF(AQ44="0",BJ44,0)</f>
        <v>0</v>
      </c>
      <c r="AI44" s="9" t="s">
        <v>161</v>
      </c>
      <c r="AJ44" s="7">
        <f>IF(AN44=0,K44,0)</f>
        <v>0</v>
      </c>
      <c r="AK44" s="7">
        <f>IF(AN44=15,K44,0)</f>
        <v>0</v>
      </c>
      <c r="AL44" s="7">
        <f>IF(AN44=21,K44,0)</f>
        <v>0</v>
      </c>
      <c r="AN44" s="7">
        <v>21</v>
      </c>
      <c r="AO44" s="7">
        <f>H44*0.422332361516035</f>
        <v>0</v>
      </c>
      <c r="AP44" s="7">
        <f>H44*(1-0.422332361516035)</f>
        <v>0</v>
      </c>
      <c r="AQ44" s="6" t="s">
        <v>232</v>
      </c>
      <c r="AV44" s="7">
        <f>AW44+AX44</f>
        <v>0</v>
      </c>
      <c r="AW44" s="7">
        <f>G44*AO44</f>
        <v>0</v>
      </c>
      <c r="AX44" s="7">
        <f>G44*AP44</f>
        <v>0</v>
      </c>
      <c r="AY44" s="6" t="s">
        <v>250</v>
      </c>
      <c r="AZ44" s="6" t="s">
        <v>80</v>
      </c>
      <c r="BA44" s="9" t="s">
        <v>180</v>
      </c>
      <c r="BC44" s="7">
        <f>AW44+AX44</f>
        <v>0</v>
      </c>
      <c r="BD44" s="7">
        <f>H44/(100-BE44)*100</f>
        <v>0</v>
      </c>
      <c r="BE44" s="7">
        <v>0</v>
      </c>
      <c r="BF44" s="7">
        <f>M44</f>
        <v>2.528E-2</v>
      </c>
      <c r="BH44" s="7">
        <f>G44*AO44</f>
        <v>0</v>
      </c>
      <c r="BI44" s="7">
        <f>G44*AP44</f>
        <v>0</v>
      </c>
      <c r="BJ44" s="7">
        <f>G44*H44</f>
        <v>0</v>
      </c>
      <c r="BK44" s="7"/>
      <c r="BL44" s="7">
        <v>94</v>
      </c>
    </row>
    <row r="45" spans="1:64" ht="15" customHeight="1" x14ac:dyDescent="0.35">
      <c r="A45" s="36" t="s">
        <v>161</v>
      </c>
      <c r="B45" s="31" t="s">
        <v>161</v>
      </c>
      <c r="C45" s="31" t="s">
        <v>92</v>
      </c>
      <c r="D45" s="47" t="s">
        <v>17</v>
      </c>
      <c r="E45" s="47"/>
      <c r="F45" s="26" t="s">
        <v>218</v>
      </c>
      <c r="G45" s="26" t="s">
        <v>218</v>
      </c>
      <c r="H45" s="26" t="s">
        <v>218</v>
      </c>
      <c r="I45" s="11">
        <f>SUM(I46:I46)</f>
        <v>0</v>
      </c>
      <c r="J45" s="11">
        <f>SUM(J46:J46)</f>
        <v>0</v>
      </c>
      <c r="K45" s="11">
        <f>SUM(K46:K46)</f>
        <v>0</v>
      </c>
      <c r="L45" s="9" t="s">
        <v>161</v>
      </c>
      <c r="M45" s="11">
        <f>SUM(M46:M46)</f>
        <v>6.0000000000000001E-3</v>
      </c>
      <c r="N45" s="37" t="s">
        <v>161</v>
      </c>
      <c r="AI45" s="9" t="s">
        <v>161</v>
      </c>
      <c r="AS45" s="11">
        <f>SUM(AJ46:AJ46)</f>
        <v>0</v>
      </c>
      <c r="AT45" s="11">
        <f>SUM(AK46:AK46)</f>
        <v>0</v>
      </c>
      <c r="AU45" s="11">
        <f>SUM(AL46:AL46)</f>
        <v>0</v>
      </c>
    </row>
    <row r="46" spans="1:64" ht="15" customHeight="1" x14ac:dyDescent="0.35">
      <c r="A46" s="38" t="s">
        <v>52</v>
      </c>
      <c r="B46" s="29" t="s">
        <v>161</v>
      </c>
      <c r="C46" s="29" t="s">
        <v>208</v>
      </c>
      <c r="D46" s="46" t="s">
        <v>67</v>
      </c>
      <c r="E46" s="46"/>
      <c r="F46" s="29" t="s">
        <v>229</v>
      </c>
      <c r="G46" s="7">
        <v>150</v>
      </c>
      <c r="H46" s="7">
        <v>0</v>
      </c>
      <c r="I46" s="7">
        <f>G46*AO46</f>
        <v>0</v>
      </c>
      <c r="J46" s="7">
        <f>G46*AP46</f>
        <v>0</v>
      </c>
      <c r="K46" s="7">
        <f>G46*H46</f>
        <v>0</v>
      </c>
      <c r="L46" s="7">
        <v>4.0000000000000003E-5</v>
      </c>
      <c r="M46" s="7">
        <f>G46*L46</f>
        <v>6.0000000000000001E-3</v>
      </c>
      <c r="N46" s="39" t="s">
        <v>253</v>
      </c>
      <c r="Z46" s="7">
        <f>IF(AQ46="5",BJ46,0)</f>
        <v>0</v>
      </c>
      <c r="AB46" s="7">
        <f>IF(AQ46="1",BH46,0)</f>
        <v>0</v>
      </c>
      <c r="AC46" s="7">
        <f>IF(AQ46="1",BI46,0)</f>
        <v>0</v>
      </c>
      <c r="AD46" s="7">
        <f>IF(AQ46="7",BH46,0)</f>
        <v>0</v>
      </c>
      <c r="AE46" s="7">
        <f>IF(AQ46="7",BI46,0)</f>
        <v>0</v>
      </c>
      <c r="AF46" s="7">
        <f>IF(AQ46="2",BH46,0)</f>
        <v>0</v>
      </c>
      <c r="AG46" s="7">
        <f>IF(AQ46="2",BI46,0)</f>
        <v>0</v>
      </c>
      <c r="AH46" s="7">
        <f>IF(AQ46="0",BJ46,0)</f>
        <v>0</v>
      </c>
      <c r="AI46" s="9" t="s">
        <v>161</v>
      </c>
      <c r="AJ46" s="7">
        <f>IF(AN46=0,K46,0)</f>
        <v>0</v>
      </c>
      <c r="AK46" s="7">
        <f>IF(AN46=15,K46,0)</f>
        <v>0</v>
      </c>
      <c r="AL46" s="7">
        <f>IF(AN46=21,K46,0)</f>
        <v>0</v>
      </c>
      <c r="AN46" s="7">
        <v>21</v>
      </c>
      <c r="AO46" s="7">
        <f>H46*0.0121374045801527</f>
        <v>0</v>
      </c>
      <c r="AP46" s="7">
        <f>H46*(1-0.0121374045801527)</f>
        <v>0</v>
      </c>
      <c r="AQ46" s="6" t="s">
        <v>232</v>
      </c>
      <c r="AV46" s="7">
        <f>AW46+AX46</f>
        <v>0</v>
      </c>
      <c r="AW46" s="7">
        <f>G46*AO46</f>
        <v>0</v>
      </c>
      <c r="AX46" s="7">
        <f>G46*AP46</f>
        <v>0</v>
      </c>
      <c r="AY46" s="6" t="s">
        <v>139</v>
      </c>
      <c r="AZ46" s="6" t="s">
        <v>80</v>
      </c>
      <c r="BA46" s="9" t="s">
        <v>180</v>
      </c>
      <c r="BC46" s="7">
        <f>AW46+AX46</f>
        <v>0</v>
      </c>
      <c r="BD46" s="7">
        <f>H46/(100-BE46)*100</f>
        <v>0</v>
      </c>
      <c r="BE46" s="7">
        <v>0</v>
      </c>
      <c r="BF46" s="7">
        <f>M46</f>
        <v>6.0000000000000001E-3</v>
      </c>
      <c r="BH46" s="7">
        <f>G46*AO46</f>
        <v>0</v>
      </c>
      <c r="BI46" s="7">
        <f>G46*AP46</f>
        <v>0</v>
      </c>
      <c r="BJ46" s="7">
        <f>G46*H46</f>
        <v>0</v>
      </c>
      <c r="BK46" s="7"/>
      <c r="BL46" s="7">
        <v>95</v>
      </c>
    </row>
    <row r="47" spans="1:64" ht="15" customHeight="1" x14ac:dyDescent="0.35">
      <c r="A47" s="36" t="s">
        <v>161</v>
      </c>
      <c r="B47" s="31" t="s">
        <v>161</v>
      </c>
      <c r="C47" s="31" t="s">
        <v>127</v>
      </c>
      <c r="D47" s="47" t="s">
        <v>175</v>
      </c>
      <c r="E47" s="47"/>
      <c r="F47" s="26" t="s">
        <v>218</v>
      </c>
      <c r="G47" s="26" t="s">
        <v>218</v>
      </c>
      <c r="H47" s="26" t="s">
        <v>218</v>
      </c>
      <c r="I47" s="11">
        <f>SUM(I48:I55)</f>
        <v>0</v>
      </c>
      <c r="J47" s="11">
        <f>SUM(J48:J55)</f>
        <v>0</v>
      </c>
      <c r="K47" s="11">
        <f>SUM(K48:K55)</f>
        <v>0</v>
      </c>
      <c r="L47" s="9" t="s">
        <v>161</v>
      </c>
      <c r="M47" s="11">
        <f>SUM(M48:M55)</f>
        <v>2.8098159999999996</v>
      </c>
      <c r="N47" s="37" t="s">
        <v>161</v>
      </c>
      <c r="AI47" s="9" t="s">
        <v>161</v>
      </c>
      <c r="AS47" s="11">
        <f>SUM(AJ48:AJ55)</f>
        <v>0</v>
      </c>
      <c r="AT47" s="11">
        <f>SUM(AK48:AK55)</f>
        <v>0</v>
      </c>
      <c r="AU47" s="11">
        <f>SUM(AL48:AL55)</f>
        <v>0</v>
      </c>
    </row>
    <row r="48" spans="1:64" ht="15" customHeight="1" x14ac:dyDescent="0.35">
      <c r="A48" s="38" t="s">
        <v>32</v>
      </c>
      <c r="B48" s="29" t="s">
        <v>161</v>
      </c>
      <c r="C48" s="29" t="s">
        <v>46</v>
      </c>
      <c r="D48" s="46" t="s">
        <v>128</v>
      </c>
      <c r="E48" s="46"/>
      <c r="F48" s="29" t="s">
        <v>229</v>
      </c>
      <c r="G48" s="7">
        <v>13.2</v>
      </c>
      <c r="H48" s="7">
        <v>0</v>
      </c>
      <c r="I48" s="7">
        <f t="shared" ref="I48:I55" si="24">G48*AO48</f>
        <v>0</v>
      </c>
      <c r="J48" s="7">
        <f t="shared" ref="J48:J55" si="25">G48*AP48</f>
        <v>0</v>
      </c>
      <c r="K48" s="7">
        <f t="shared" ref="K48:K55" si="26">G48*H48</f>
        <v>0</v>
      </c>
      <c r="L48" s="7">
        <v>7.7170000000000002E-2</v>
      </c>
      <c r="M48" s="7">
        <f t="shared" ref="M48:M55" si="27">G48*L48</f>
        <v>1.0186439999999999</v>
      </c>
      <c r="N48" s="39" t="s">
        <v>253</v>
      </c>
      <c r="Z48" s="7">
        <f t="shared" ref="Z48:Z55" si="28">IF(AQ48="5",BJ48,0)</f>
        <v>0</v>
      </c>
      <c r="AB48" s="7">
        <f t="shared" ref="AB48:AB55" si="29">IF(AQ48="1",BH48,0)</f>
        <v>0</v>
      </c>
      <c r="AC48" s="7">
        <f t="shared" ref="AC48:AC55" si="30">IF(AQ48="1",BI48,0)</f>
        <v>0</v>
      </c>
      <c r="AD48" s="7">
        <f t="shared" ref="AD48:AD55" si="31">IF(AQ48="7",BH48,0)</f>
        <v>0</v>
      </c>
      <c r="AE48" s="7">
        <f t="shared" ref="AE48:AE55" si="32">IF(AQ48="7",BI48,0)</f>
        <v>0</v>
      </c>
      <c r="AF48" s="7">
        <f t="shared" ref="AF48:AF55" si="33">IF(AQ48="2",BH48,0)</f>
        <v>0</v>
      </c>
      <c r="AG48" s="7">
        <f t="shared" ref="AG48:AG55" si="34">IF(AQ48="2",BI48,0)</f>
        <v>0</v>
      </c>
      <c r="AH48" s="7">
        <f t="shared" ref="AH48:AH55" si="35">IF(AQ48="0",BJ48,0)</f>
        <v>0</v>
      </c>
      <c r="AI48" s="9" t="s">
        <v>161</v>
      </c>
      <c r="AJ48" s="7">
        <f t="shared" ref="AJ48:AJ55" si="36">IF(AN48=0,K48,0)</f>
        <v>0</v>
      </c>
      <c r="AK48" s="7">
        <f t="shared" ref="AK48:AK55" si="37">IF(AN48=15,K48,0)</f>
        <v>0</v>
      </c>
      <c r="AL48" s="7">
        <f t="shared" ref="AL48:AL55" si="38">IF(AN48=21,K48,0)</f>
        <v>0</v>
      </c>
      <c r="AN48" s="7">
        <v>21</v>
      </c>
      <c r="AO48" s="7">
        <f>H48*0.0794443261469044</f>
        <v>0</v>
      </c>
      <c r="AP48" s="7">
        <f>H48*(1-0.0794443261469044)</f>
        <v>0</v>
      </c>
      <c r="AQ48" s="6" t="s">
        <v>232</v>
      </c>
      <c r="AV48" s="7">
        <f t="shared" ref="AV48:AV55" si="39">AW48+AX48</f>
        <v>0</v>
      </c>
      <c r="AW48" s="7">
        <f t="shared" ref="AW48:AW55" si="40">G48*AO48</f>
        <v>0</v>
      </c>
      <c r="AX48" s="7">
        <f t="shared" ref="AX48:AX55" si="41">G48*AP48</f>
        <v>0</v>
      </c>
      <c r="AY48" s="6" t="s">
        <v>207</v>
      </c>
      <c r="AZ48" s="6" t="s">
        <v>80</v>
      </c>
      <c r="BA48" s="9" t="s">
        <v>180</v>
      </c>
      <c r="BC48" s="7">
        <f t="shared" ref="BC48:BC55" si="42">AW48+AX48</f>
        <v>0</v>
      </c>
      <c r="BD48" s="7">
        <f t="shared" ref="BD48:BD55" si="43">H48/(100-BE48)*100</f>
        <v>0</v>
      </c>
      <c r="BE48" s="7">
        <v>0</v>
      </c>
      <c r="BF48" s="7">
        <f t="shared" ref="BF48:BF55" si="44">M48</f>
        <v>1.0186439999999999</v>
      </c>
      <c r="BH48" s="7">
        <f t="shared" ref="BH48:BH55" si="45">G48*AO48</f>
        <v>0</v>
      </c>
      <c r="BI48" s="7">
        <f t="shared" ref="BI48:BI55" si="46">G48*AP48</f>
        <v>0</v>
      </c>
      <c r="BJ48" s="7">
        <f t="shared" ref="BJ48:BJ55" si="47">G48*H48</f>
        <v>0</v>
      </c>
      <c r="BK48" s="7"/>
      <c r="BL48" s="7">
        <v>96</v>
      </c>
    </row>
    <row r="49" spans="1:64" ht="15" customHeight="1" x14ac:dyDescent="0.35">
      <c r="A49" s="38" t="s">
        <v>226</v>
      </c>
      <c r="B49" s="29" t="s">
        <v>161</v>
      </c>
      <c r="C49" s="29" t="s">
        <v>130</v>
      </c>
      <c r="D49" s="46" t="s">
        <v>202</v>
      </c>
      <c r="E49" s="46"/>
      <c r="F49" s="29" t="s">
        <v>229</v>
      </c>
      <c r="G49" s="7">
        <v>22</v>
      </c>
      <c r="H49" s="7">
        <v>0</v>
      </c>
      <c r="I49" s="7">
        <f t="shared" si="24"/>
        <v>0</v>
      </c>
      <c r="J49" s="7">
        <f t="shared" si="25"/>
        <v>0</v>
      </c>
      <c r="K49" s="7">
        <f t="shared" si="26"/>
        <v>0</v>
      </c>
      <c r="L49" s="7">
        <v>6.4000000000000001E-2</v>
      </c>
      <c r="M49" s="7">
        <f t="shared" si="27"/>
        <v>1.4079999999999999</v>
      </c>
      <c r="N49" s="39" t="s">
        <v>253</v>
      </c>
      <c r="Z49" s="7">
        <f t="shared" si="28"/>
        <v>0</v>
      </c>
      <c r="AB49" s="7">
        <f t="shared" si="29"/>
        <v>0</v>
      </c>
      <c r="AC49" s="7">
        <f t="shared" si="30"/>
        <v>0</v>
      </c>
      <c r="AD49" s="7">
        <f t="shared" si="31"/>
        <v>0</v>
      </c>
      <c r="AE49" s="7">
        <f t="shared" si="32"/>
        <v>0</v>
      </c>
      <c r="AF49" s="7">
        <f t="shared" si="33"/>
        <v>0</v>
      </c>
      <c r="AG49" s="7">
        <f t="shared" si="34"/>
        <v>0</v>
      </c>
      <c r="AH49" s="7">
        <f t="shared" si="35"/>
        <v>0</v>
      </c>
      <c r="AI49" s="9" t="s">
        <v>161</v>
      </c>
      <c r="AJ49" s="7">
        <f t="shared" si="36"/>
        <v>0</v>
      </c>
      <c r="AK49" s="7">
        <f t="shared" si="37"/>
        <v>0</v>
      </c>
      <c r="AL49" s="7">
        <f t="shared" si="38"/>
        <v>0</v>
      </c>
      <c r="AN49" s="7">
        <v>21</v>
      </c>
      <c r="AO49" s="7">
        <f>H49*0.0879097744360902</f>
        <v>0</v>
      </c>
      <c r="AP49" s="7">
        <f>H49*(1-0.0879097744360902)</f>
        <v>0</v>
      </c>
      <c r="AQ49" s="6" t="s">
        <v>232</v>
      </c>
      <c r="AV49" s="7">
        <f t="shared" si="39"/>
        <v>0</v>
      </c>
      <c r="AW49" s="7">
        <f t="shared" si="40"/>
        <v>0</v>
      </c>
      <c r="AX49" s="7">
        <f t="shared" si="41"/>
        <v>0</v>
      </c>
      <c r="AY49" s="6" t="s">
        <v>207</v>
      </c>
      <c r="AZ49" s="6" t="s">
        <v>80</v>
      </c>
      <c r="BA49" s="9" t="s">
        <v>180</v>
      </c>
      <c r="BC49" s="7">
        <f t="shared" si="42"/>
        <v>0</v>
      </c>
      <c r="BD49" s="7">
        <f t="shared" si="43"/>
        <v>0</v>
      </c>
      <c r="BE49" s="7">
        <v>0</v>
      </c>
      <c r="BF49" s="7">
        <f t="shared" si="44"/>
        <v>1.4079999999999999</v>
      </c>
      <c r="BH49" s="7">
        <f t="shared" si="45"/>
        <v>0</v>
      </c>
      <c r="BI49" s="7">
        <f t="shared" si="46"/>
        <v>0</v>
      </c>
      <c r="BJ49" s="7">
        <f t="shared" si="47"/>
        <v>0</v>
      </c>
      <c r="BK49" s="7"/>
      <c r="BL49" s="7">
        <v>96</v>
      </c>
    </row>
    <row r="50" spans="1:64" ht="15" customHeight="1" x14ac:dyDescent="0.35">
      <c r="A50" s="38" t="s">
        <v>248</v>
      </c>
      <c r="B50" s="29" t="s">
        <v>161</v>
      </c>
      <c r="C50" s="29" t="s">
        <v>177</v>
      </c>
      <c r="D50" s="46" t="s">
        <v>224</v>
      </c>
      <c r="E50" s="46"/>
      <c r="F50" s="29" t="s">
        <v>53</v>
      </c>
      <c r="G50" s="7">
        <v>13</v>
      </c>
      <c r="H50" s="7">
        <v>0</v>
      </c>
      <c r="I50" s="7">
        <f t="shared" si="24"/>
        <v>0</v>
      </c>
      <c r="J50" s="7">
        <f t="shared" si="25"/>
        <v>0</v>
      </c>
      <c r="K50" s="7">
        <f t="shared" si="26"/>
        <v>0</v>
      </c>
      <c r="L50" s="7">
        <v>0</v>
      </c>
      <c r="M50" s="7">
        <f t="shared" si="27"/>
        <v>0</v>
      </c>
      <c r="N50" s="39" t="s">
        <v>253</v>
      </c>
      <c r="Z50" s="7">
        <f t="shared" si="28"/>
        <v>0</v>
      </c>
      <c r="AB50" s="7">
        <f t="shared" si="29"/>
        <v>0</v>
      </c>
      <c r="AC50" s="7">
        <f t="shared" si="30"/>
        <v>0</v>
      </c>
      <c r="AD50" s="7">
        <f t="shared" si="31"/>
        <v>0</v>
      </c>
      <c r="AE50" s="7">
        <f t="shared" si="32"/>
        <v>0</v>
      </c>
      <c r="AF50" s="7">
        <f t="shared" si="33"/>
        <v>0</v>
      </c>
      <c r="AG50" s="7">
        <f t="shared" si="34"/>
        <v>0</v>
      </c>
      <c r="AH50" s="7">
        <f t="shared" si="35"/>
        <v>0</v>
      </c>
      <c r="AI50" s="9" t="s">
        <v>161</v>
      </c>
      <c r="AJ50" s="7">
        <f t="shared" si="36"/>
        <v>0</v>
      </c>
      <c r="AK50" s="7">
        <f t="shared" si="37"/>
        <v>0</v>
      </c>
      <c r="AL50" s="7">
        <f t="shared" si="38"/>
        <v>0</v>
      </c>
      <c r="AN50" s="7">
        <v>21</v>
      </c>
      <c r="AO50" s="7">
        <f>H50*0</f>
        <v>0</v>
      </c>
      <c r="AP50" s="7">
        <f>H50*(1-0)</f>
        <v>0</v>
      </c>
      <c r="AQ50" s="6" t="s">
        <v>232</v>
      </c>
      <c r="AV50" s="7">
        <f t="shared" si="39"/>
        <v>0</v>
      </c>
      <c r="AW50" s="7">
        <f t="shared" si="40"/>
        <v>0</v>
      </c>
      <c r="AX50" s="7">
        <f t="shared" si="41"/>
        <v>0</v>
      </c>
      <c r="AY50" s="6" t="s">
        <v>207</v>
      </c>
      <c r="AZ50" s="6" t="s">
        <v>80</v>
      </c>
      <c r="BA50" s="9" t="s">
        <v>180</v>
      </c>
      <c r="BC50" s="7">
        <f t="shared" si="42"/>
        <v>0</v>
      </c>
      <c r="BD50" s="7">
        <f t="shared" si="43"/>
        <v>0</v>
      </c>
      <c r="BE50" s="7">
        <v>0</v>
      </c>
      <c r="BF50" s="7">
        <f t="shared" si="44"/>
        <v>0</v>
      </c>
      <c r="BH50" s="7">
        <f t="shared" si="45"/>
        <v>0</v>
      </c>
      <c r="BI50" s="7">
        <f t="shared" si="46"/>
        <v>0</v>
      </c>
      <c r="BJ50" s="7">
        <f t="shared" si="47"/>
        <v>0</v>
      </c>
      <c r="BK50" s="7"/>
      <c r="BL50" s="7">
        <v>96</v>
      </c>
    </row>
    <row r="51" spans="1:64" ht="15" customHeight="1" x14ac:dyDescent="0.35">
      <c r="A51" s="38" t="s">
        <v>15</v>
      </c>
      <c r="B51" s="29" t="s">
        <v>161</v>
      </c>
      <c r="C51" s="29" t="s">
        <v>162</v>
      </c>
      <c r="D51" s="46" t="s">
        <v>200</v>
      </c>
      <c r="E51" s="46"/>
      <c r="F51" s="29" t="s">
        <v>53</v>
      </c>
      <c r="G51" s="7">
        <v>4</v>
      </c>
      <c r="H51" s="7">
        <v>0</v>
      </c>
      <c r="I51" s="7">
        <f t="shared" si="24"/>
        <v>0</v>
      </c>
      <c r="J51" s="7">
        <f t="shared" si="25"/>
        <v>0</v>
      </c>
      <c r="K51" s="7">
        <f t="shared" si="26"/>
        <v>0</v>
      </c>
      <c r="L51" s="7">
        <v>0</v>
      </c>
      <c r="M51" s="7">
        <f t="shared" si="27"/>
        <v>0</v>
      </c>
      <c r="N51" s="39" t="s">
        <v>253</v>
      </c>
      <c r="Z51" s="7">
        <f t="shared" si="28"/>
        <v>0</v>
      </c>
      <c r="AB51" s="7">
        <f t="shared" si="29"/>
        <v>0</v>
      </c>
      <c r="AC51" s="7">
        <f t="shared" si="30"/>
        <v>0</v>
      </c>
      <c r="AD51" s="7">
        <f t="shared" si="31"/>
        <v>0</v>
      </c>
      <c r="AE51" s="7">
        <f t="shared" si="32"/>
        <v>0</v>
      </c>
      <c r="AF51" s="7">
        <f t="shared" si="33"/>
        <v>0</v>
      </c>
      <c r="AG51" s="7">
        <f t="shared" si="34"/>
        <v>0</v>
      </c>
      <c r="AH51" s="7">
        <f t="shared" si="35"/>
        <v>0</v>
      </c>
      <c r="AI51" s="9" t="s">
        <v>161</v>
      </c>
      <c r="AJ51" s="7">
        <f t="shared" si="36"/>
        <v>0</v>
      </c>
      <c r="AK51" s="7">
        <f t="shared" si="37"/>
        <v>0</v>
      </c>
      <c r="AL51" s="7">
        <f t="shared" si="38"/>
        <v>0</v>
      </c>
      <c r="AN51" s="7">
        <v>21</v>
      </c>
      <c r="AO51" s="7">
        <f>H51*0</f>
        <v>0</v>
      </c>
      <c r="AP51" s="7">
        <f>H51*(1-0)</f>
        <v>0</v>
      </c>
      <c r="AQ51" s="6" t="s">
        <v>232</v>
      </c>
      <c r="AV51" s="7">
        <f t="shared" si="39"/>
        <v>0</v>
      </c>
      <c r="AW51" s="7">
        <f t="shared" si="40"/>
        <v>0</v>
      </c>
      <c r="AX51" s="7">
        <f t="shared" si="41"/>
        <v>0</v>
      </c>
      <c r="AY51" s="6" t="s">
        <v>207</v>
      </c>
      <c r="AZ51" s="6" t="s">
        <v>80</v>
      </c>
      <c r="BA51" s="9" t="s">
        <v>180</v>
      </c>
      <c r="BC51" s="7">
        <f t="shared" si="42"/>
        <v>0</v>
      </c>
      <c r="BD51" s="7">
        <f t="shared" si="43"/>
        <v>0</v>
      </c>
      <c r="BE51" s="7">
        <v>0</v>
      </c>
      <c r="BF51" s="7">
        <f t="shared" si="44"/>
        <v>0</v>
      </c>
      <c r="BH51" s="7">
        <f t="shared" si="45"/>
        <v>0</v>
      </c>
      <c r="BI51" s="7">
        <f t="shared" si="46"/>
        <v>0</v>
      </c>
      <c r="BJ51" s="7">
        <f t="shared" si="47"/>
        <v>0</v>
      </c>
      <c r="BK51" s="7"/>
      <c r="BL51" s="7">
        <v>96</v>
      </c>
    </row>
    <row r="52" spans="1:64" ht="15" customHeight="1" x14ac:dyDescent="0.35">
      <c r="A52" s="38" t="s">
        <v>148</v>
      </c>
      <c r="B52" s="29" t="s">
        <v>161</v>
      </c>
      <c r="C52" s="29" t="s">
        <v>47</v>
      </c>
      <c r="D52" s="46" t="s">
        <v>183</v>
      </c>
      <c r="E52" s="46"/>
      <c r="F52" s="29" t="s">
        <v>229</v>
      </c>
      <c r="G52" s="7">
        <v>13.2</v>
      </c>
      <c r="H52" s="7">
        <v>0</v>
      </c>
      <c r="I52" s="7">
        <f t="shared" si="24"/>
        <v>0</v>
      </c>
      <c r="J52" s="7">
        <f t="shared" si="25"/>
        <v>0</v>
      </c>
      <c r="K52" s="7">
        <f t="shared" si="26"/>
        <v>0</v>
      </c>
      <c r="L52" s="7">
        <v>2.5420000000000002E-2</v>
      </c>
      <c r="M52" s="7">
        <f t="shared" si="27"/>
        <v>0.33554400000000001</v>
      </c>
      <c r="N52" s="39" t="s">
        <v>253</v>
      </c>
      <c r="Z52" s="7">
        <f t="shared" si="28"/>
        <v>0</v>
      </c>
      <c r="AB52" s="7">
        <f t="shared" si="29"/>
        <v>0</v>
      </c>
      <c r="AC52" s="7">
        <f t="shared" si="30"/>
        <v>0</v>
      </c>
      <c r="AD52" s="7">
        <f t="shared" si="31"/>
        <v>0</v>
      </c>
      <c r="AE52" s="7">
        <f t="shared" si="32"/>
        <v>0</v>
      </c>
      <c r="AF52" s="7">
        <f t="shared" si="33"/>
        <v>0</v>
      </c>
      <c r="AG52" s="7">
        <f t="shared" si="34"/>
        <v>0</v>
      </c>
      <c r="AH52" s="7">
        <f t="shared" si="35"/>
        <v>0</v>
      </c>
      <c r="AI52" s="9" t="s">
        <v>161</v>
      </c>
      <c r="AJ52" s="7">
        <f t="shared" si="36"/>
        <v>0</v>
      </c>
      <c r="AK52" s="7">
        <f t="shared" si="37"/>
        <v>0</v>
      </c>
      <c r="AL52" s="7">
        <f t="shared" si="38"/>
        <v>0</v>
      </c>
      <c r="AN52" s="7">
        <v>21</v>
      </c>
      <c r="AO52" s="7">
        <f>H52*0.0813150684931507</f>
        <v>0</v>
      </c>
      <c r="AP52" s="7">
        <f>H52*(1-0.0813150684931507)</f>
        <v>0</v>
      </c>
      <c r="AQ52" s="6" t="s">
        <v>232</v>
      </c>
      <c r="AV52" s="7">
        <f t="shared" si="39"/>
        <v>0</v>
      </c>
      <c r="AW52" s="7">
        <f t="shared" si="40"/>
        <v>0</v>
      </c>
      <c r="AX52" s="7">
        <f t="shared" si="41"/>
        <v>0</v>
      </c>
      <c r="AY52" s="6" t="s">
        <v>207</v>
      </c>
      <c r="AZ52" s="6" t="s">
        <v>80</v>
      </c>
      <c r="BA52" s="9" t="s">
        <v>180</v>
      </c>
      <c r="BC52" s="7">
        <f t="shared" si="42"/>
        <v>0</v>
      </c>
      <c r="BD52" s="7">
        <f t="shared" si="43"/>
        <v>0</v>
      </c>
      <c r="BE52" s="7">
        <v>0</v>
      </c>
      <c r="BF52" s="7">
        <f t="shared" si="44"/>
        <v>0.33554400000000001</v>
      </c>
      <c r="BH52" s="7">
        <f t="shared" si="45"/>
        <v>0</v>
      </c>
      <c r="BI52" s="7">
        <f t="shared" si="46"/>
        <v>0</v>
      </c>
      <c r="BJ52" s="7">
        <f t="shared" si="47"/>
        <v>0</v>
      </c>
      <c r="BK52" s="7"/>
      <c r="BL52" s="7">
        <v>96</v>
      </c>
    </row>
    <row r="53" spans="1:64" ht="15" customHeight="1" x14ac:dyDescent="0.35">
      <c r="A53" s="38" t="s">
        <v>135</v>
      </c>
      <c r="B53" s="29" t="s">
        <v>161</v>
      </c>
      <c r="C53" s="29" t="s">
        <v>156</v>
      </c>
      <c r="D53" s="46" t="s">
        <v>85</v>
      </c>
      <c r="E53" s="46"/>
      <c r="F53" s="29" t="s">
        <v>229</v>
      </c>
      <c r="G53" s="7">
        <v>0.7</v>
      </c>
      <c r="H53" s="7">
        <v>0</v>
      </c>
      <c r="I53" s="7">
        <f t="shared" si="24"/>
        <v>0</v>
      </c>
      <c r="J53" s="7">
        <f t="shared" si="25"/>
        <v>0</v>
      </c>
      <c r="K53" s="7">
        <f t="shared" si="26"/>
        <v>0</v>
      </c>
      <c r="L53" s="7">
        <v>6.8040000000000003E-2</v>
      </c>
      <c r="M53" s="7">
        <f t="shared" si="27"/>
        <v>4.7627999999999997E-2</v>
      </c>
      <c r="N53" s="39" t="s">
        <v>253</v>
      </c>
      <c r="Z53" s="7">
        <f t="shared" si="28"/>
        <v>0</v>
      </c>
      <c r="AB53" s="7">
        <f t="shared" si="29"/>
        <v>0</v>
      </c>
      <c r="AC53" s="7">
        <f t="shared" si="30"/>
        <v>0</v>
      </c>
      <c r="AD53" s="7">
        <f t="shared" si="31"/>
        <v>0</v>
      </c>
      <c r="AE53" s="7">
        <f t="shared" si="32"/>
        <v>0</v>
      </c>
      <c r="AF53" s="7">
        <f t="shared" si="33"/>
        <v>0</v>
      </c>
      <c r="AG53" s="7">
        <f t="shared" si="34"/>
        <v>0</v>
      </c>
      <c r="AH53" s="7">
        <f t="shared" si="35"/>
        <v>0</v>
      </c>
      <c r="AI53" s="9" t="s">
        <v>161</v>
      </c>
      <c r="AJ53" s="7">
        <f t="shared" si="36"/>
        <v>0</v>
      </c>
      <c r="AK53" s="7">
        <f t="shared" si="37"/>
        <v>0</v>
      </c>
      <c r="AL53" s="7">
        <f t="shared" si="38"/>
        <v>0</v>
      </c>
      <c r="AN53" s="7">
        <v>21</v>
      </c>
      <c r="AO53" s="7">
        <f>H53*0.18386437060968</f>
        <v>0</v>
      </c>
      <c r="AP53" s="7">
        <f>H53*(1-0.18386437060968)</f>
        <v>0</v>
      </c>
      <c r="AQ53" s="6" t="s">
        <v>232</v>
      </c>
      <c r="AV53" s="7">
        <f t="shared" si="39"/>
        <v>0</v>
      </c>
      <c r="AW53" s="7">
        <f t="shared" si="40"/>
        <v>0</v>
      </c>
      <c r="AX53" s="7">
        <f t="shared" si="41"/>
        <v>0</v>
      </c>
      <c r="AY53" s="6" t="s">
        <v>207</v>
      </c>
      <c r="AZ53" s="6" t="s">
        <v>80</v>
      </c>
      <c r="BA53" s="9" t="s">
        <v>180</v>
      </c>
      <c r="BC53" s="7">
        <f t="shared" si="42"/>
        <v>0</v>
      </c>
      <c r="BD53" s="7">
        <f t="shared" si="43"/>
        <v>0</v>
      </c>
      <c r="BE53" s="7">
        <v>0</v>
      </c>
      <c r="BF53" s="7">
        <f t="shared" si="44"/>
        <v>4.7627999999999997E-2</v>
      </c>
      <c r="BH53" s="7">
        <f t="shared" si="45"/>
        <v>0</v>
      </c>
      <c r="BI53" s="7">
        <f t="shared" si="46"/>
        <v>0</v>
      </c>
      <c r="BJ53" s="7">
        <f t="shared" si="47"/>
        <v>0</v>
      </c>
      <c r="BK53" s="7"/>
      <c r="BL53" s="7">
        <v>96</v>
      </c>
    </row>
    <row r="54" spans="1:64" ht="15" customHeight="1" x14ac:dyDescent="0.35">
      <c r="A54" s="38" t="s">
        <v>198</v>
      </c>
      <c r="B54" s="29" t="s">
        <v>161</v>
      </c>
      <c r="C54" s="29" t="s">
        <v>5</v>
      </c>
      <c r="D54" s="46" t="s">
        <v>136</v>
      </c>
      <c r="E54" s="46"/>
      <c r="F54" s="29" t="s">
        <v>53</v>
      </c>
      <c r="G54" s="7">
        <v>1</v>
      </c>
      <c r="H54" s="7">
        <v>0</v>
      </c>
      <c r="I54" s="7">
        <f t="shared" si="24"/>
        <v>0</v>
      </c>
      <c r="J54" s="7">
        <f t="shared" si="25"/>
        <v>0</v>
      </c>
      <c r="K54" s="7">
        <f t="shared" si="26"/>
        <v>0</v>
      </c>
      <c r="L54" s="7">
        <v>0</v>
      </c>
      <c r="M54" s="7">
        <f t="shared" si="27"/>
        <v>0</v>
      </c>
      <c r="N54" s="39" t="s">
        <v>253</v>
      </c>
      <c r="Z54" s="7">
        <f t="shared" si="28"/>
        <v>0</v>
      </c>
      <c r="AB54" s="7">
        <f t="shared" si="29"/>
        <v>0</v>
      </c>
      <c r="AC54" s="7">
        <f t="shared" si="30"/>
        <v>0</v>
      </c>
      <c r="AD54" s="7">
        <f t="shared" si="31"/>
        <v>0</v>
      </c>
      <c r="AE54" s="7">
        <f t="shared" si="32"/>
        <v>0</v>
      </c>
      <c r="AF54" s="7">
        <f t="shared" si="33"/>
        <v>0</v>
      </c>
      <c r="AG54" s="7">
        <f t="shared" si="34"/>
        <v>0</v>
      </c>
      <c r="AH54" s="7">
        <f t="shared" si="35"/>
        <v>0</v>
      </c>
      <c r="AI54" s="9" t="s">
        <v>161</v>
      </c>
      <c r="AJ54" s="7">
        <f t="shared" si="36"/>
        <v>0</v>
      </c>
      <c r="AK54" s="7">
        <f t="shared" si="37"/>
        <v>0</v>
      </c>
      <c r="AL54" s="7">
        <f t="shared" si="38"/>
        <v>0</v>
      </c>
      <c r="AN54" s="7">
        <v>21</v>
      </c>
      <c r="AO54" s="7">
        <f>H54*0</f>
        <v>0</v>
      </c>
      <c r="AP54" s="7">
        <f>H54*(1-0)</f>
        <v>0</v>
      </c>
      <c r="AQ54" s="6" t="s">
        <v>232</v>
      </c>
      <c r="AV54" s="7">
        <f t="shared" si="39"/>
        <v>0</v>
      </c>
      <c r="AW54" s="7">
        <f t="shared" si="40"/>
        <v>0</v>
      </c>
      <c r="AX54" s="7">
        <f t="shared" si="41"/>
        <v>0</v>
      </c>
      <c r="AY54" s="6" t="s">
        <v>207</v>
      </c>
      <c r="AZ54" s="6" t="s">
        <v>80</v>
      </c>
      <c r="BA54" s="9" t="s">
        <v>180</v>
      </c>
      <c r="BC54" s="7">
        <f t="shared" si="42"/>
        <v>0</v>
      </c>
      <c r="BD54" s="7">
        <f t="shared" si="43"/>
        <v>0</v>
      </c>
      <c r="BE54" s="7">
        <v>0</v>
      </c>
      <c r="BF54" s="7">
        <f t="shared" si="44"/>
        <v>0</v>
      </c>
      <c r="BH54" s="7">
        <f t="shared" si="45"/>
        <v>0</v>
      </c>
      <c r="BI54" s="7">
        <f t="shared" si="46"/>
        <v>0</v>
      </c>
      <c r="BJ54" s="7">
        <f t="shared" si="47"/>
        <v>0</v>
      </c>
      <c r="BK54" s="7"/>
      <c r="BL54" s="7">
        <v>96</v>
      </c>
    </row>
    <row r="55" spans="1:64" ht="15" customHeight="1" x14ac:dyDescent="0.35">
      <c r="A55" s="38" t="s">
        <v>49</v>
      </c>
      <c r="B55" s="29" t="s">
        <v>161</v>
      </c>
      <c r="C55" s="29" t="s">
        <v>41</v>
      </c>
      <c r="D55" s="46" t="s">
        <v>193</v>
      </c>
      <c r="E55" s="46"/>
      <c r="F55" s="29" t="s">
        <v>53</v>
      </c>
      <c r="G55" s="7">
        <v>2</v>
      </c>
      <c r="H55" s="7">
        <v>0</v>
      </c>
      <c r="I55" s="7">
        <f t="shared" si="24"/>
        <v>0</v>
      </c>
      <c r="J55" s="7">
        <f t="shared" si="25"/>
        <v>0</v>
      </c>
      <c r="K55" s="7">
        <f t="shared" si="26"/>
        <v>0</v>
      </c>
      <c r="L55" s="7">
        <v>0</v>
      </c>
      <c r="M55" s="7">
        <f t="shared" si="27"/>
        <v>0</v>
      </c>
      <c r="N55" s="39" t="s">
        <v>253</v>
      </c>
      <c r="Z55" s="7">
        <f t="shared" si="28"/>
        <v>0</v>
      </c>
      <c r="AB55" s="7">
        <f t="shared" si="29"/>
        <v>0</v>
      </c>
      <c r="AC55" s="7">
        <f t="shared" si="30"/>
        <v>0</v>
      </c>
      <c r="AD55" s="7">
        <f t="shared" si="31"/>
        <v>0</v>
      </c>
      <c r="AE55" s="7">
        <f t="shared" si="32"/>
        <v>0</v>
      </c>
      <c r="AF55" s="7">
        <f t="shared" si="33"/>
        <v>0</v>
      </c>
      <c r="AG55" s="7">
        <f t="shared" si="34"/>
        <v>0</v>
      </c>
      <c r="AH55" s="7">
        <f t="shared" si="35"/>
        <v>0</v>
      </c>
      <c r="AI55" s="9" t="s">
        <v>161</v>
      </c>
      <c r="AJ55" s="7">
        <f t="shared" si="36"/>
        <v>0</v>
      </c>
      <c r="AK55" s="7">
        <f t="shared" si="37"/>
        <v>0</v>
      </c>
      <c r="AL55" s="7">
        <f t="shared" si="38"/>
        <v>0</v>
      </c>
      <c r="AN55" s="7">
        <v>21</v>
      </c>
      <c r="AO55" s="7">
        <f>H55*0</f>
        <v>0</v>
      </c>
      <c r="AP55" s="7">
        <f>H55*(1-0)</f>
        <v>0</v>
      </c>
      <c r="AQ55" s="6" t="s">
        <v>232</v>
      </c>
      <c r="AV55" s="7">
        <f t="shared" si="39"/>
        <v>0</v>
      </c>
      <c r="AW55" s="7">
        <f t="shared" si="40"/>
        <v>0</v>
      </c>
      <c r="AX55" s="7">
        <f t="shared" si="41"/>
        <v>0</v>
      </c>
      <c r="AY55" s="6" t="s">
        <v>207</v>
      </c>
      <c r="AZ55" s="6" t="s">
        <v>80</v>
      </c>
      <c r="BA55" s="9" t="s">
        <v>180</v>
      </c>
      <c r="BC55" s="7">
        <f t="shared" si="42"/>
        <v>0</v>
      </c>
      <c r="BD55" s="7">
        <f t="shared" si="43"/>
        <v>0</v>
      </c>
      <c r="BE55" s="7">
        <v>0</v>
      </c>
      <c r="BF55" s="7">
        <f t="shared" si="44"/>
        <v>0</v>
      </c>
      <c r="BH55" s="7">
        <f t="shared" si="45"/>
        <v>0</v>
      </c>
      <c r="BI55" s="7">
        <f t="shared" si="46"/>
        <v>0</v>
      </c>
      <c r="BJ55" s="7">
        <f t="shared" si="47"/>
        <v>0</v>
      </c>
      <c r="BK55" s="7"/>
      <c r="BL55" s="7">
        <v>96</v>
      </c>
    </row>
    <row r="56" spans="1:64" ht="15" customHeight="1" x14ac:dyDescent="0.35">
      <c r="A56" s="36" t="s">
        <v>161</v>
      </c>
      <c r="B56" s="31" t="s">
        <v>161</v>
      </c>
      <c r="C56" s="31" t="s">
        <v>150</v>
      </c>
      <c r="D56" s="47" t="s">
        <v>138</v>
      </c>
      <c r="E56" s="47"/>
      <c r="F56" s="26" t="s">
        <v>218</v>
      </c>
      <c r="G56" s="26" t="s">
        <v>218</v>
      </c>
      <c r="H56" s="26" t="s">
        <v>218</v>
      </c>
      <c r="I56" s="11">
        <f>SUM(I57:I57)</f>
        <v>0</v>
      </c>
      <c r="J56" s="11">
        <f>SUM(J57:J57)</f>
        <v>0</v>
      </c>
      <c r="K56" s="11">
        <f>SUM(K57:K57)</f>
        <v>0</v>
      </c>
      <c r="L56" s="9" t="s">
        <v>161</v>
      </c>
      <c r="M56" s="11">
        <f>SUM(M57:M57)</f>
        <v>0</v>
      </c>
      <c r="N56" s="37" t="s">
        <v>161</v>
      </c>
      <c r="AI56" s="9" t="s">
        <v>161</v>
      </c>
      <c r="AS56" s="11">
        <f>SUM(AJ57:AJ57)</f>
        <v>0</v>
      </c>
      <c r="AT56" s="11">
        <f>SUM(AK57:AK57)</f>
        <v>0</v>
      </c>
      <c r="AU56" s="11">
        <f>SUM(AL57:AL57)</f>
        <v>0</v>
      </c>
    </row>
    <row r="57" spans="1:64" ht="15" customHeight="1" x14ac:dyDescent="0.35">
      <c r="A57" s="38" t="s">
        <v>251</v>
      </c>
      <c r="B57" s="29" t="s">
        <v>161</v>
      </c>
      <c r="C57" s="29" t="s">
        <v>178</v>
      </c>
      <c r="D57" s="46" t="s">
        <v>142</v>
      </c>
      <c r="E57" s="46"/>
      <c r="F57" s="29" t="s">
        <v>110</v>
      </c>
      <c r="G57" s="7">
        <v>10.429399999999999</v>
      </c>
      <c r="H57" s="7">
        <v>0</v>
      </c>
      <c r="I57" s="7">
        <f>G57*AO57</f>
        <v>0</v>
      </c>
      <c r="J57" s="7">
        <f>G57*AP57</f>
        <v>0</v>
      </c>
      <c r="K57" s="7">
        <f>G57*H57</f>
        <v>0</v>
      </c>
      <c r="L57" s="7">
        <v>0</v>
      </c>
      <c r="M57" s="7">
        <f>G57*L57</f>
        <v>0</v>
      </c>
      <c r="N57" s="39" t="s">
        <v>253</v>
      </c>
      <c r="Z57" s="7">
        <f>IF(AQ57="5",BJ57,0)</f>
        <v>0</v>
      </c>
      <c r="AB57" s="7">
        <f>IF(AQ57="1",BH57,0)</f>
        <v>0</v>
      </c>
      <c r="AC57" s="7">
        <f>IF(AQ57="1",BI57,0)</f>
        <v>0</v>
      </c>
      <c r="AD57" s="7">
        <f>IF(AQ57="7",BH57,0)</f>
        <v>0</v>
      </c>
      <c r="AE57" s="7">
        <f>IF(AQ57="7",BI57,0)</f>
        <v>0</v>
      </c>
      <c r="AF57" s="7">
        <f>IF(AQ57="2",BH57,0)</f>
        <v>0</v>
      </c>
      <c r="AG57" s="7">
        <f>IF(AQ57="2",BI57,0)</f>
        <v>0</v>
      </c>
      <c r="AH57" s="7">
        <f>IF(AQ57="0",BJ57,0)</f>
        <v>0</v>
      </c>
      <c r="AI57" s="9" t="s">
        <v>161</v>
      </c>
      <c r="AJ57" s="7">
        <f>IF(AN57=0,K57,0)</f>
        <v>0</v>
      </c>
      <c r="AK57" s="7">
        <f>IF(AN57=15,K57,0)</f>
        <v>0</v>
      </c>
      <c r="AL57" s="7">
        <f>IF(AN57=21,K57,0)</f>
        <v>0</v>
      </c>
      <c r="AN57" s="7">
        <v>21</v>
      </c>
      <c r="AO57" s="7">
        <f>H57*0</f>
        <v>0</v>
      </c>
      <c r="AP57" s="7">
        <f>H57*(1-0)</f>
        <v>0</v>
      </c>
      <c r="AQ57" s="6" t="s">
        <v>122</v>
      </c>
      <c r="AV57" s="7">
        <f>AW57+AX57</f>
        <v>0</v>
      </c>
      <c r="AW57" s="7">
        <f>G57*AO57</f>
        <v>0</v>
      </c>
      <c r="AX57" s="7">
        <f>G57*AP57</f>
        <v>0</v>
      </c>
      <c r="AY57" s="6" t="s">
        <v>241</v>
      </c>
      <c r="AZ57" s="6" t="s">
        <v>80</v>
      </c>
      <c r="BA57" s="9" t="s">
        <v>180</v>
      </c>
      <c r="BC57" s="7">
        <f>AW57+AX57</f>
        <v>0</v>
      </c>
      <c r="BD57" s="7">
        <f>H57/(100-BE57)*100</f>
        <v>0</v>
      </c>
      <c r="BE57" s="7">
        <v>0</v>
      </c>
      <c r="BF57" s="7">
        <f>M57</f>
        <v>0</v>
      </c>
      <c r="BH57" s="7">
        <f>G57*AO57</f>
        <v>0</v>
      </c>
      <c r="BI57" s="7">
        <f>G57*AP57</f>
        <v>0</v>
      </c>
      <c r="BJ57" s="7">
        <f>G57*H57</f>
        <v>0</v>
      </c>
      <c r="BK57" s="7"/>
      <c r="BL57" s="7"/>
    </row>
    <row r="58" spans="1:64" ht="15" customHeight="1" x14ac:dyDescent="0.35">
      <c r="A58" s="36" t="s">
        <v>161</v>
      </c>
      <c r="B58" s="31" t="s">
        <v>161</v>
      </c>
      <c r="C58" s="31" t="s">
        <v>73</v>
      </c>
      <c r="D58" s="47" t="s">
        <v>98</v>
      </c>
      <c r="E58" s="47"/>
      <c r="F58" s="26" t="s">
        <v>218</v>
      </c>
      <c r="G58" s="26" t="s">
        <v>218</v>
      </c>
      <c r="H58" s="26" t="s">
        <v>218</v>
      </c>
      <c r="I58" s="11">
        <f>SUM(I59:I61)</f>
        <v>0</v>
      </c>
      <c r="J58" s="11">
        <f>SUM(J59:J61)</f>
        <v>0</v>
      </c>
      <c r="K58" s="11">
        <f>SUM(K59:K61)</f>
        <v>0</v>
      </c>
      <c r="L58" s="9" t="s">
        <v>161</v>
      </c>
      <c r="M58" s="11">
        <f>SUM(M59:M61)</f>
        <v>0</v>
      </c>
      <c r="N58" s="37" t="s">
        <v>161</v>
      </c>
      <c r="AI58" s="9" t="s">
        <v>161</v>
      </c>
      <c r="AS58" s="11">
        <f>SUM(AJ59:AJ61)</f>
        <v>0</v>
      </c>
      <c r="AT58" s="11">
        <f>SUM(AK59:AK61)</f>
        <v>0</v>
      </c>
      <c r="AU58" s="11">
        <f>SUM(AL59:AL61)</f>
        <v>0</v>
      </c>
    </row>
    <row r="59" spans="1:64" ht="15" customHeight="1" x14ac:dyDescent="0.35">
      <c r="A59" s="38" t="s">
        <v>210</v>
      </c>
      <c r="B59" s="29" t="s">
        <v>161</v>
      </c>
      <c r="C59" s="29" t="s">
        <v>167</v>
      </c>
      <c r="D59" s="46" t="s">
        <v>219</v>
      </c>
      <c r="E59" s="46"/>
      <c r="F59" s="29" t="s">
        <v>110</v>
      </c>
      <c r="G59" s="7">
        <v>1.46</v>
      </c>
      <c r="H59" s="7">
        <v>0</v>
      </c>
      <c r="I59" s="7">
        <f>G59*AO59</f>
        <v>0</v>
      </c>
      <c r="J59" s="7">
        <f>G59*AP59</f>
        <v>0</v>
      </c>
      <c r="K59" s="7">
        <f>G59*H59</f>
        <v>0</v>
      </c>
      <c r="L59" s="7">
        <v>0</v>
      </c>
      <c r="M59" s="7">
        <f>G59*L59</f>
        <v>0</v>
      </c>
      <c r="N59" s="39" t="s">
        <v>253</v>
      </c>
      <c r="Z59" s="7">
        <f>IF(AQ59="5",BJ59,0)</f>
        <v>0</v>
      </c>
      <c r="AB59" s="7">
        <f>IF(AQ59="1",BH59,0)</f>
        <v>0</v>
      </c>
      <c r="AC59" s="7">
        <f>IF(AQ59="1",BI59,0)</f>
        <v>0</v>
      </c>
      <c r="AD59" s="7">
        <f>IF(AQ59="7",BH59,0)</f>
        <v>0</v>
      </c>
      <c r="AE59" s="7">
        <f>IF(AQ59="7",BI59,0)</f>
        <v>0</v>
      </c>
      <c r="AF59" s="7">
        <f>IF(AQ59="2",BH59,0)</f>
        <v>0</v>
      </c>
      <c r="AG59" s="7">
        <f>IF(AQ59="2",BI59,0)</f>
        <v>0</v>
      </c>
      <c r="AH59" s="7">
        <f>IF(AQ59="0",BJ59,0)</f>
        <v>0</v>
      </c>
      <c r="AI59" s="9" t="s">
        <v>161</v>
      </c>
      <c r="AJ59" s="7">
        <f>IF(AN59=0,K59,0)</f>
        <v>0</v>
      </c>
      <c r="AK59" s="7">
        <f>IF(AN59=15,K59,0)</f>
        <v>0</v>
      </c>
      <c r="AL59" s="7">
        <f>IF(AN59=21,K59,0)</f>
        <v>0</v>
      </c>
      <c r="AN59" s="7">
        <v>21</v>
      </c>
      <c r="AO59" s="7">
        <f>H59*0</f>
        <v>0</v>
      </c>
      <c r="AP59" s="7">
        <f>H59*(1-0)</f>
        <v>0</v>
      </c>
      <c r="AQ59" s="6" t="s">
        <v>122</v>
      </c>
      <c r="AV59" s="7">
        <f>AW59+AX59</f>
        <v>0</v>
      </c>
      <c r="AW59" s="7">
        <f>G59*AO59</f>
        <v>0</v>
      </c>
      <c r="AX59" s="7">
        <f>G59*AP59</f>
        <v>0</v>
      </c>
      <c r="AY59" s="6" t="s">
        <v>96</v>
      </c>
      <c r="AZ59" s="6" t="s">
        <v>80</v>
      </c>
      <c r="BA59" s="9" t="s">
        <v>180</v>
      </c>
      <c r="BC59" s="7">
        <f>AW59+AX59</f>
        <v>0</v>
      </c>
      <c r="BD59" s="7">
        <f>H59/(100-BE59)*100</f>
        <v>0</v>
      </c>
      <c r="BE59" s="7">
        <v>0</v>
      </c>
      <c r="BF59" s="7">
        <f>M59</f>
        <v>0</v>
      </c>
      <c r="BH59" s="7">
        <f>G59*AO59</f>
        <v>0</v>
      </c>
      <c r="BI59" s="7">
        <f>G59*AP59</f>
        <v>0</v>
      </c>
      <c r="BJ59" s="7">
        <f>G59*H59</f>
        <v>0</v>
      </c>
      <c r="BK59" s="7"/>
      <c r="BL59" s="7"/>
    </row>
    <row r="60" spans="1:64" ht="15" customHeight="1" x14ac:dyDescent="0.35">
      <c r="A60" s="38" t="s">
        <v>133</v>
      </c>
      <c r="B60" s="29" t="s">
        <v>161</v>
      </c>
      <c r="C60" s="29" t="s">
        <v>79</v>
      </c>
      <c r="D60" s="46" t="s">
        <v>102</v>
      </c>
      <c r="E60" s="46"/>
      <c r="F60" s="29" t="s">
        <v>110</v>
      </c>
      <c r="G60" s="7">
        <v>4.38</v>
      </c>
      <c r="H60" s="7">
        <v>0</v>
      </c>
      <c r="I60" s="7">
        <f>G60*AO60</f>
        <v>0</v>
      </c>
      <c r="J60" s="7">
        <f>G60*AP60</f>
        <v>0</v>
      </c>
      <c r="K60" s="7">
        <f>G60*H60</f>
        <v>0</v>
      </c>
      <c r="L60" s="7">
        <v>0</v>
      </c>
      <c r="M60" s="7">
        <f>G60*L60</f>
        <v>0</v>
      </c>
      <c r="N60" s="39" t="s">
        <v>253</v>
      </c>
      <c r="Z60" s="7">
        <f>IF(AQ60="5",BJ60,0)</f>
        <v>0</v>
      </c>
      <c r="AB60" s="7">
        <f>IF(AQ60="1",BH60,0)</f>
        <v>0</v>
      </c>
      <c r="AC60" s="7">
        <f>IF(AQ60="1",BI60,0)</f>
        <v>0</v>
      </c>
      <c r="AD60" s="7">
        <f>IF(AQ60="7",BH60,0)</f>
        <v>0</v>
      </c>
      <c r="AE60" s="7">
        <f>IF(AQ60="7",BI60,0)</f>
        <v>0</v>
      </c>
      <c r="AF60" s="7">
        <f>IF(AQ60="2",BH60,0)</f>
        <v>0</v>
      </c>
      <c r="AG60" s="7">
        <f>IF(AQ60="2",BI60,0)</f>
        <v>0</v>
      </c>
      <c r="AH60" s="7">
        <f>IF(AQ60="0",BJ60,0)</f>
        <v>0</v>
      </c>
      <c r="AI60" s="9" t="s">
        <v>161</v>
      </c>
      <c r="AJ60" s="7">
        <f>IF(AN60=0,K60,0)</f>
        <v>0</v>
      </c>
      <c r="AK60" s="7">
        <f>IF(AN60=15,K60,0)</f>
        <v>0</v>
      </c>
      <c r="AL60" s="7">
        <f>IF(AN60=21,K60,0)</f>
        <v>0</v>
      </c>
      <c r="AN60" s="7">
        <v>21</v>
      </c>
      <c r="AO60" s="7">
        <f>H60*0</f>
        <v>0</v>
      </c>
      <c r="AP60" s="7">
        <f>H60*(1-0)</f>
        <v>0</v>
      </c>
      <c r="AQ60" s="6" t="s">
        <v>122</v>
      </c>
      <c r="AV60" s="7">
        <f>AW60+AX60</f>
        <v>0</v>
      </c>
      <c r="AW60" s="7">
        <f>G60*AO60</f>
        <v>0</v>
      </c>
      <c r="AX60" s="7">
        <f>G60*AP60</f>
        <v>0</v>
      </c>
      <c r="AY60" s="6" t="s">
        <v>96</v>
      </c>
      <c r="AZ60" s="6" t="s">
        <v>80</v>
      </c>
      <c r="BA60" s="9" t="s">
        <v>180</v>
      </c>
      <c r="BC60" s="7">
        <f>AW60+AX60</f>
        <v>0</v>
      </c>
      <c r="BD60" s="7">
        <f>H60/(100-BE60)*100</f>
        <v>0</v>
      </c>
      <c r="BE60" s="7">
        <v>0</v>
      </c>
      <c r="BF60" s="7">
        <f>M60</f>
        <v>0</v>
      </c>
      <c r="BH60" s="7">
        <f>G60*AO60</f>
        <v>0</v>
      </c>
      <c r="BI60" s="7">
        <f>G60*AP60</f>
        <v>0</v>
      </c>
      <c r="BJ60" s="7">
        <f>G60*H60</f>
        <v>0</v>
      </c>
      <c r="BK60" s="7"/>
      <c r="BL60" s="7"/>
    </row>
    <row r="61" spans="1:64" ht="15" customHeight="1" thickBot="1" x14ac:dyDescent="0.4">
      <c r="A61" s="41" t="s">
        <v>228</v>
      </c>
      <c r="B61" s="42" t="s">
        <v>161</v>
      </c>
      <c r="C61" s="42" t="s">
        <v>140</v>
      </c>
      <c r="D61" s="48" t="s">
        <v>117</v>
      </c>
      <c r="E61" s="48"/>
      <c r="F61" s="42" t="s">
        <v>110</v>
      </c>
      <c r="G61" s="43">
        <v>1.46</v>
      </c>
      <c r="H61" s="43">
        <v>0</v>
      </c>
      <c r="I61" s="43">
        <f>G61*AO61</f>
        <v>0</v>
      </c>
      <c r="J61" s="43">
        <f>G61*AP61</f>
        <v>0</v>
      </c>
      <c r="K61" s="43">
        <f>G61*H61</f>
        <v>0</v>
      </c>
      <c r="L61" s="43">
        <v>0</v>
      </c>
      <c r="M61" s="43">
        <f>G61*L61</f>
        <v>0</v>
      </c>
      <c r="N61" s="44" t="s">
        <v>253</v>
      </c>
      <c r="Z61" s="7">
        <f>IF(AQ61="5",BJ61,0)</f>
        <v>0</v>
      </c>
      <c r="AB61" s="7">
        <f>IF(AQ61="1",BH61,0)</f>
        <v>0</v>
      </c>
      <c r="AC61" s="7">
        <f>IF(AQ61="1",BI61,0)</f>
        <v>0</v>
      </c>
      <c r="AD61" s="7">
        <f>IF(AQ61="7",BH61,0)</f>
        <v>0</v>
      </c>
      <c r="AE61" s="7">
        <f>IF(AQ61="7",BI61,0)</f>
        <v>0</v>
      </c>
      <c r="AF61" s="7">
        <f>IF(AQ61="2",BH61,0)</f>
        <v>0</v>
      </c>
      <c r="AG61" s="7">
        <f>IF(AQ61="2",BI61,0)</f>
        <v>0</v>
      </c>
      <c r="AH61" s="7">
        <f>IF(AQ61="0",BJ61,0)</f>
        <v>0</v>
      </c>
      <c r="AI61" s="9" t="s">
        <v>161</v>
      </c>
      <c r="AJ61" s="7">
        <f>IF(AN61=0,K61,0)</f>
        <v>0</v>
      </c>
      <c r="AK61" s="7">
        <f>IF(AN61=15,K61,0)</f>
        <v>0</v>
      </c>
      <c r="AL61" s="7">
        <f>IF(AN61=21,K61,0)</f>
        <v>0</v>
      </c>
      <c r="AN61" s="7">
        <v>21</v>
      </c>
      <c r="AO61" s="7">
        <f>H61*0</f>
        <v>0</v>
      </c>
      <c r="AP61" s="7">
        <f>H61*(1-0)</f>
        <v>0</v>
      </c>
      <c r="AQ61" s="6" t="s">
        <v>122</v>
      </c>
      <c r="AV61" s="7">
        <f>AW61+AX61</f>
        <v>0</v>
      </c>
      <c r="AW61" s="7">
        <f>G61*AO61</f>
        <v>0</v>
      </c>
      <c r="AX61" s="7">
        <f>G61*AP61</f>
        <v>0</v>
      </c>
      <c r="AY61" s="6" t="s">
        <v>96</v>
      </c>
      <c r="AZ61" s="6" t="s">
        <v>80</v>
      </c>
      <c r="BA61" s="9" t="s">
        <v>180</v>
      </c>
      <c r="BC61" s="7">
        <f>AW61+AX61</f>
        <v>0</v>
      </c>
      <c r="BD61" s="7">
        <f>H61/(100-BE61)*100</f>
        <v>0</v>
      </c>
      <c r="BE61" s="7">
        <v>0</v>
      </c>
      <c r="BF61" s="7">
        <f>M61</f>
        <v>0</v>
      </c>
      <c r="BH61" s="7">
        <f>G61*AO61</f>
        <v>0</v>
      </c>
      <c r="BI61" s="7">
        <f>G61*AP61</f>
        <v>0</v>
      </c>
      <c r="BJ61" s="7">
        <f>G61*H61</f>
        <v>0</v>
      </c>
      <c r="BK61" s="7"/>
      <c r="BL61" s="7"/>
    </row>
    <row r="62" spans="1:64" ht="15" customHeight="1" x14ac:dyDescent="0.35">
      <c r="I62" s="49" t="s">
        <v>254</v>
      </c>
      <c r="J62" s="49"/>
      <c r="K62" s="21">
        <f>K12+K20+K26+K29+K32+K35+K37+K40+K43+K45+K47+K56+K58</f>
        <v>0</v>
      </c>
    </row>
  </sheetData>
  <mergeCells count="80">
    <mergeCell ref="A1:N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D6:E7"/>
    <mergeCell ref="D8:E9"/>
    <mergeCell ref="H2:H3"/>
    <mergeCell ref="H4:H5"/>
    <mergeCell ref="H6:H7"/>
    <mergeCell ref="H8:H9"/>
    <mergeCell ref="J2:N3"/>
    <mergeCell ref="J4:N5"/>
    <mergeCell ref="J6:N7"/>
    <mergeCell ref="J8:N9"/>
    <mergeCell ref="D10:E10"/>
    <mergeCell ref="I4:I5"/>
    <mergeCell ref="I6:I7"/>
    <mergeCell ref="I8:I9"/>
    <mergeCell ref="D2:E3"/>
    <mergeCell ref="D4:E5"/>
    <mergeCell ref="D11:E11"/>
    <mergeCell ref="I10:K10"/>
    <mergeCell ref="L10:M1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I62:J62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I37"/>
  <sheetViews>
    <sheetView showOutlineSymbols="0" workbookViewId="0">
      <selection activeCell="I10" sqref="I10:I11"/>
    </sheetView>
  </sheetViews>
  <sheetFormatPr defaultColWidth="14.109375" defaultRowHeight="15" customHeight="1" x14ac:dyDescent="0.35"/>
  <cols>
    <col min="1" max="1" width="10.6640625" customWidth="1"/>
    <col min="2" max="2" width="15" customWidth="1"/>
    <col min="3" max="3" width="31.6640625" customWidth="1"/>
    <col min="4" max="4" width="11.6640625" customWidth="1"/>
    <col min="5" max="5" width="16.33203125" customWidth="1"/>
    <col min="6" max="6" width="31.6640625" customWidth="1"/>
    <col min="7" max="7" width="10.6640625" customWidth="1"/>
    <col min="8" max="8" width="15" customWidth="1"/>
    <col min="9" max="9" width="31.6640625" customWidth="1"/>
  </cols>
  <sheetData>
    <row r="1" spans="1:9" ht="54.75" customHeight="1" x14ac:dyDescent="0.35">
      <c r="A1" s="107" t="s">
        <v>66</v>
      </c>
      <c r="B1" s="65"/>
      <c r="C1" s="65"/>
      <c r="D1" s="65"/>
      <c r="E1" s="65"/>
      <c r="F1" s="65"/>
      <c r="G1" s="65"/>
      <c r="H1" s="65"/>
      <c r="I1" s="65"/>
    </row>
    <row r="2" spans="1:9" ht="15" customHeight="1" x14ac:dyDescent="0.35">
      <c r="A2" s="108" t="s">
        <v>13</v>
      </c>
      <c r="B2" s="103"/>
      <c r="C2" s="105" t="s">
        <v>6</v>
      </c>
      <c r="D2" s="106"/>
      <c r="E2" s="102" t="s">
        <v>199</v>
      </c>
      <c r="F2" s="102" t="s">
        <v>112</v>
      </c>
      <c r="G2" s="103"/>
      <c r="H2" s="102" t="s">
        <v>149</v>
      </c>
      <c r="I2" s="96" t="s">
        <v>161</v>
      </c>
    </row>
    <row r="3" spans="1:9" ht="15" customHeight="1" x14ac:dyDescent="0.35">
      <c r="A3" s="109"/>
      <c r="B3" s="46"/>
      <c r="C3" s="49"/>
      <c r="D3" s="49"/>
      <c r="E3" s="46"/>
      <c r="F3" s="46"/>
      <c r="G3" s="46"/>
      <c r="H3" s="46"/>
      <c r="I3" s="97"/>
    </row>
    <row r="4" spans="1:9" ht="15" customHeight="1" x14ac:dyDescent="0.35">
      <c r="A4" s="110" t="s">
        <v>125</v>
      </c>
      <c r="B4" s="46"/>
      <c r="C4" s="61" t="s">
        <v>236</v>
      </c>
      <c r="D4" s="46"/>
      <c r="E4" s="61" t="s">
        <v>159</v>
      </c>
      <c r="F4" s="61" t="s">
        <v>112</v>
      </c>
      <c r="G4" s="46"/>
      <c r="H4" s="61" t="s">
        <v>149</v>
      </c>
      <c r="I4" s="97" t="s">
        <v>161</v>
      </c>
    </row>
    <row r="5" spans="1:9" ht="15" customHeight="1" x14ac:dyDescent="0.35">
      <c r="A5" s="109"/>
      <c r="B5" s="46"/>
      <c r="C5" s="46"/>
      <c r="D5" s="46"/>
      <c r="E5" s="46"/>
      <c r="F5" s="46"/>
      <c r="G5" s="46"/>
      <c r="H5" s="46"/>
      <c r="I5" s="97"/>
    </row>
    <row r="6" spans="1:9" ht="15" customHeight="1" x14ac:dyDescent="0.35">
      <c r="A6" s="110" t="s">
        <v>19</v>
      </c>
      <c r="B6" s="46"/>
      <c r="C6" s="61" t="s">
        <v>227</v>
      </c>
      <c r="D6" s="46"/>
      <c r="E6" s="61" t="s">
        <v>206</v>
      </c>
      <c r="F6" s="61" t="s">
        <v>112</v>
      </c>
      <c r="G6" s="46"/>
      <c r="H6" s="61" t="s">
        <v>149</v>
      </c>
      <c r="I6" s="97" t="s">
        <v>161</v>
      </c>
    </row>
    <row r="7" spans="1:9" ht="15" customHeight="1" x14ac:dyDescent="0.35">
      <c r="A7" s="109"/>
      <c r="B7" s="46"/>
      <c r="C7" s="46"/>
      <c r="D7" s="46"/>
      <c r="E7" s="46"/>
      <c r="F7" s="46"/>
      <c r="G7" s="46"/>
      <c r="H7" s="46"/>
      <c r="I7" s="97"/>
    </row>
    <row r="8" spans="1:9" ht="15" customHeight="1" x14ac:dyDescent="0.35">
      <c r="A8" s="110" t="s">
        <v>211</v>
      </c>
      <c r="B8" s="46"/>
      <c r="C8" s="61" t="s">
        <v>218</v>
      </c>
      <c r="D8" s="46"/>
      <c r="E8" s="61" t="s">
        <v>69</v>
      </c>
      <c r="F8" s="61" t="s">
        <v>218</v>
      </c>
      <c r="G8" s="46"/>
      <c r="H8" s="46" t="s">
        <v>237</v>
      </c>
      <c r="I8" s="98">
        <v>37</v>
      </c>
    </row>
    <row r="9" spans="1:9" ht="15" customHeight="1" x14ac:dyDescent="0.35">
      <c r="A9" s="109"/>
      <c r="B9" s="46"/>
      <c r="C9" s="46"/>
      <c r="D9" s="46"/>
      <c r="E9" s="46"/>
      <c r="F9" s="46"/>
      <c r="G9" s="46"/>
      <c r="H9" s="46"/>
      <c r="I9" s="97"/>
    </row>
    <row r="10" spans="1:9" ht="15" customHeight="1" x14ac:dyDescent="0.35">
      <c r="A10" s="110" t="s">
        <v>115</v>
      </c>
      <c r="B10" s="46"/>
      <c r="C10" s="61" t="s">
        <v>218</v>
      </c>
      <c r="D10" s="46"/>
      <c r="E10" s="61" t="s">
        <v>152</v>
      </c>
      <c r="F10" s="61" t="s">
        <v>112</v>
      </c>
      <c r="G10" s="46"/>
      <c r="H10" s="46" t="s">
        <v>225</v>
      </c>
      <c r="I10" s="99"/>
    </row>
    <row r="11" spans="1:9" ht="15" customHeight="1" x14ac:dyDescent="0.35">
      <c r="A11" s="111"/>
      <c r="B11" s="104"/>
      <c r="C11" s="104"/>
      <c r="D11" s="104"/>
      <c r="E11" s="104"/>
      <c r="F11" s="104"/>
      <c r="G11" s="104"/>
      <c r="H11" s="104"/>
      <c r="I11" s="100"/>
    </row>
    <row r="12" spans="1:9" ht="22.5" customHeight="1" x14ac:dyDescent="0.35">
      <c r="A12" s="101" t="s">
        <v>38</v>
      </c>
      <c r="B12" s="101"/>
      <c r="C12" s="101"/>
      <c r="D12" s="101"/>
      <c r="E12" s="101"/>
      <c r="F12" s="101"/>
      <c r="G12" s="101"/>
      <c r="H12" s="101"/>
      <c r="I12" s="101"/>
    </row>
    <row r="13" spans="1:9" ht="26.25" customHeight="1" x14ac:dyDescent="0.35">
      <c r="A13" s="27" t="s">
        <v>214</v>
      </c>
      <c r="B13" s="91" t="s">
        <v>31</v>
      </c>
      <c r="C13" s="92"/>
      <c r="D13" s="28" t="s">
        <v>39</v>
      </c>
      <c r="E13" s="91" t="s">
        <v>82</v>
      </c>
      <c r="F13" s="92"/>
      <c r="G13" s="28" t="s">
        <v>146</v>
      </c>
      <c r="H13" s="91" t="s">
        <v>40</v>
      </c>
      <c r="I13" s="92"/>
    </row>
    <row r="14" spans="1:9" ht="15" customHeight="1" x14ac:dyDescent="0.35">
      <c r="A14" s="15" t="s">
        <v>84</v>
      </c>
      <c r="B14" s="1" t="s">
        <v>54</v>
      </c>
      <c r="C14" s="5">
        <v>0</v>
      </c>
      <c r="D14" s="83" t="s">
        <v>169</v>
      </c>
      <c r="E14" s="84"/>
      <c r="F14" s="5">
        <v>0</v>
      </c>
      <c r="G14" s="83" t="s">
        <v>25</v>
      </c>
      <c r="H14" s="84"/>
      <c r="I14" s="5">
        <f>ROUND(C22*(10/100),2)</f>
        <v>0</v>
      </c>
    </row>
    <row r="15" spans="1:9" ht="15" customHeight="1" x14ac:dyDescent="0.35">
      <c r="A15" s="3" t="s">
        <v>161</v>
      </c>
      <c r="B15" s="1" t="s">
        <v>42</v>
      </c>
      <c r="C15" s="5">
        <v>0</v>
      </c>
      <c r="D15" s="83" t="s">
        <v>23</v>
      </c>
      <c r="E15" s="84"/>
      <c r="F15" s="5">
        <v>0</v>
      </c>
      <c r="G15" s="83" t="s">
        <v>188</v>
      </c>
      <c r="H15" s="84"/>
      <c r="I15" s="5">
        <v>0</v>
      </c>
    </row>
    <row r="16" spans="1:9" ht="15" customHeight="1" x14ac:dyDescent="0.35">
      <c r="A16" s="15" t="s">
        <v>21</v>
      </c>
      <c r="B16" s="1" t="s">
        <v>54</v>
      </c>
      <c r="C16" s="5">
        <v>0</v>
      </c>
      <c r="D16" s="83" t="s">
        <v>173</v>
      </c>
      <c r="E16" s="84"/>
      <c r="F16" s="5">
        <v>0</v>
      </c>
      <c r="G16" s="83" t="s">
        <v>223</v>
      </c>
      <c r="H16" s="84"/>
      <c r="I16" s="5">
        <v>0</v>
      </c>
    </row>
    <row r="17" spans="1:9" ht="15" customHeight="1" x14ac:dyDescent="0.35">
      <c r="A17" s="3" t="s">
        <v>161</v>
      </c>
      <c r="B17" s="1" t="s">
        <v>42</v>
      </c>
      <c r="C17" s="5">
        <v>0</v>
      </c>
      <c r="D17" s="83" t="s">
        <v>161</v>
      </c>
      <c r="E17" s="84"/>
      <c r="F17" s="14" t="s">
        <v>161</v>
      </c>
      <c r="G17" s="83" t="s">
        <v>121</v>
      </c>
      <c r="H17" s="84"/>
      <c r="I17" s="5">
        <v>0</v>
      </c>
    </row>
    <row r="18" spans="1:9" ht="15" customHeight="1" x14ac:dyDescent="0.35">
      <c r="A18" s="15" t="s">
        <v>64</v>
      </c>
      <c r="B18" s="1" t="s">
        <v>54</v>
      </c>
      <c r="C18" s="5">
        <v>0</v>
      </c>
      <c r="D18" s="83" t="s">
        <v>161</v>
      </c>
      <c r="E18" s="84"/>
      <c r="F18" s="14" t="s">
        <v>161</v>
      </c>
      <c r="G18" s="83" t="s">
        <v>151</v>
      </c>
      <c r="H18" s="84"/>
      <c r="I18" s="5">
        <v>0</v>
      </c>
    </row>
    <row r="19" spans="1:9" ht="15" customHeight="1" x14ac:dyDescent="0.35">
      <c r="A19" s="3" t="s">
        <v>161</v>
      </c>
      <c r="B19" s="1" t="s">
        <v>42</v>
      </c>
      <c r="C19" s="5">
        <v>0</v>
      </c>
      <c r="D19" s="83" t="s">
        <v>161</v>
      </c>
      <c r="E19" s="84"/>
      <c r="F19" s="14" t="s">
        <v>161</v>
      </c>
      <c r="G19" s="83" t="s">
        <v>231</v>
      </c>
      <c r="H19" s="84"/>
      <c r="I19" s="5">
        <v>0</v>
      </c>
    </row>
    <row r="20" spans="1:9" ht="15" customHeight="1" x14ac:dyDescent="0.35">
      <c r="A20" s="90" t="s">
        <v>14</v>
      </c>
      <c r="B20" s="89"/>
      <c r="C20" s="5">
        <v>0</v>
      </c>
      <c r="D20" s="83" t="s">
        <v>161</v>
      </c>
      <c r="E20" s="84"/>
      <c r="F20" s="14" t="s">
        <v>161</v>
      </c>
      <c r="G20" s="83" t="s">
        <v>161</v>
      </c>
      <c r="H20" s="84"/>
      <c r="I20" s="14" t="s">
        <v>161</v>
      </c>
    </row>
    <row r="21" spans="1:9" ht="15" customHeight="1" x14ac:dyDescent="0.35">
      <c r="A21" s="93" t="s">
        <v>230</v>
      </c>
      <c r="B21" s="94"/>
      <c r="C21" s="13">
        <v>0</v>
      </c>
      <c r="D21" s="72" t="s">
        <v>161</v>
      </c>
      <c r="E21" s="85"/>
      <c r="F21" s="25" t="s">
        <v>161</v>
      </c>
      <c r="G21" s="72" t="s">
        <v>161</v>
      </c>
      <c r="H21" s="85"/>
      <c r="I21" s="25" t="s">
        <v>161</v>
      </c>
    </row>
    <row r="22" spans="1:9" ht="16.5" customHeight="1" x14ac:dyDescent="0.35">
      <c r="A22" s="95" t="s">
        <v>45</v>
      </c>
      <c r="B22" s="87"/>
      <c r="C22" s="2">
        <f>SUM(C14:C21)</f>
        <v>0</v>
      </c>
      <c r="D22" s="86" t="s">
        <v>119</v>
      </c>
      <c r="E22" s="87"/>
      <c r="F22" s="2">
        <f>SUM(F14:F21)</f>
        <v>0</v>
      </c>
      <c r="G22" s="86" t="s">
        <v>238</v>
      </c>
      <c r="H22" s="87"/>
      <c r="I22" s="2">
        <f>SUM(I14:I21)</f>
        <v>0</v>
      </c>
    </row>
    <row r="23" spans="1:9" ht="15" customHeight="1" x14ac:dyDescent="0.35">
      <c r="D23" s="90" t="s">
        <v>191</v>
      </c>
      <c r="E23" s="89"/>
      <c r="F23" s="10">
        <v>0</v>
      </c>
      <c r="G23" s="88" t="s">
        <v>10</v>
      </c>
      <c r="H23" s="89"/>
      <c r="I23" s="5">
        <v>0</v>
      </c>
    </row>
    <row r="24" spans="1:9" ht="15" customHeight="1" x14ac:dyDescent="0.35">
      <c r="G24" s="90" t="s">
        <v>160</v>
      </c>
      <c r="H24" s="89"/>
      <c r="I24" s="5">
        <v>0</v>
      </c>
    </row>
    <row r="25" spans="1:9" ht="15" customHeight="1" x14ac:dyDescent="0.35">
      <c r="G25" s="90" t="s">
        <v>181</v>
      </c>
      <c r="H25" s="89"/>
      <c r="I25" s="5">
        <v>0</v>
      </c>
    </row>
    <row r="27" spans="1:9" ht="15" customHeight="1" x14ac:dyDescent="0.35">
      <c r="A27" s="79" t="s">
        <v>95</v>
      </c>
      <c r="B27" s="80"/>
      <c r="C27" s="20">
        <v>0</v>
      </c>
    </row>
    <row r="28" spans="1:9" ht="15" customHeight="1" x14ac:dyDescent="0.35">
      <c r="A28" s="81" t="s">
        <v>2</v>
      </c>
      <c r="B28" s="82"/>
      <c r="C28" s="17">
        <v>0</v>
      </c>
      <c r="D28" s="80" t="s">
        <v>50</v>
      </c>
      <c r="E28" s="80"/>
      <c r="F28" s="20">
        <f>ROUND(C28*(15/100),2)</f>
        <v>0</v>
      </c>
      <c r="G28" s="80" t="s">
        <v>35</v>
      </c>
      <c r="H28" s="80"/>
      <c r="I28" s="20">
        <f>SUM(C27:C29)</f>
        <v>0</v>
      </c>
    </row>
    <row r="29" spans="1:9" ht="15" customHeight="1" x14ac:dyDescent="0.35">
      <c r="A29" s="81" t="s">
        <v>7</v>
      </c>
      <c r="B29" s="82"/>
      <c r="C29" s="17">
        <v>0</v>
      </c>
      <c r="D29" s="82" t="s">
        <v>176</v>
      </c>
      <c r="E29" s="82"/>
      <c r="F29" s="17">
        <f>ROUND(C29*(21/100),2)</f>
        <v>0</v>
      </c>
      <c r="G29" s="82" t="s">
        <v>94</v>
      </c>
      <c r="H29" s="82"/>
      <c r="I29" s="17">
        <f>SUM(F28:F29)+I28</f>
        <v>0</v>
      </c>
    </row>
    <row r="31" spans="1:9" ht="15" customHeight="1" x14ac:dyDescent="0.35">
      <c r="A31" s="76" t="s">
        <v>1</v>
      </c>
      <c r="B31" s="70"/>
      <c r="C31" s="71"/>
      <c r="D31" s="70" t="s">
        <v>220</v>
      </c>
      <c r="E31" s="70"/>
      <c r="F31" s="71"/>
      <c r="G31" s="70" t="s">
        <v>155</v>
      </c>
      <c r="H31" s="70"/>
      <c r="I31" s="71"/>
    </row>
    <row r="32" spans="1:9" ht="15" customHeight="1" x14ac:dyDescent="0.35">
      <c r="A32" s="77" t="s">
        <v>161</v>
      </c>
      <c r="B32" s="72"/>
      <c r="C32" s="73"/>
      <c r="D32" s="72" t="s">
        <v>161</v>
      </c>
      <c r="E32" s="72"/>
      <c r="F32" s="73"/>
      <c r="G32" s="72" t="s">
        <v>161</v>
      </c>
      <c r="H32" s="72"/>
      <c r="I32" s="73"/>
    </row>
    <row r="33" spans="1:9" ht="15" customHeight="1" x14ac:dyDescent="0.35">
      <c r="A33" s="77" t="s">
        <v>161</v>
      </c>
      <c r="B33" s="72"/>
      <c r="C33" s="73"/>
      <c r="D33" s="72" t="s">
        <v>161</v>
      </c>
      <c r="E33" s="72"/>
      <c r="F33" s="73"/>
      <c r="G33" s="72" t="s">
        <v>161</v>
      </c>
      <c r="H33" s="72"/>
      <c r="I33" s="73"/>
    </row>
    <row r="34" spans="1:9" ht="15" customHeight="1" x14ac:dyDescent="0.35">
      <c r="A34" s="77" t="s">
        <v>161</v>
      </c>
      <c r="B34" s="72"/>
      <c r="C34" s="73"/>
      <c r="D34" s="72" t="s">
        <v>161</v>
      </c>
      <c r="E34" s="72"/>
      <c r="F34" s="73"/>
      <c r="G34" s="72" t="s">
        <v>161</v>
      </c>
      <c r="H34" s="72"/>
      <c r="I34" s="73"/>
    </row>
    <row r="35" spans="1:9" ht="58.5" customHeight="1" x14ac:dyDescent="0.35">
      <c r="A35" s="78" t="s">
        <v>44</v>
      </c>
      <c r="B35" s="74"/>
      <c r="C35" s="75"/>
      <c r="D35" s="74" t="s">
        <v>44</v>
      </c>
      <c r="E35" s="74"/>
      <c r="F35" s="75"/>
      <c r="G35" s="74" t="s">
        <v>44</v>
      </c>
      <c r="H35" s="74"/>
      <c r="I35" s="75"/>
    </row>
    <row r="36" spans="1:9" ht="15" customHeight="1" x14ac:dyDescent="0.35">
      <c r="A36" s="16" t="s">
        <v>18</v>
      </c>
    </row>
    <row r="37" spans="1:9" ht="12.75" customHeight="1" x14ac:dyDescent="0.35">
      <c r="A37" s="61" t="s">
        <v>161</v>
      </c>
      <c r="B37" s="46"/>
      <c r="C37" s="46"/>
      <c r="D37" s="46"/>
      <c r="E37" s="46"/>
      <c r="F37" s="46"/>
      <c r="G37" s="46"/>
      <c r="H37" s="46"/>
      <c r="I37" s="46"/>
    </row>
  </sheetData>
  <mergeCells count="83"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F10:G11"/>
    <mergeCell ref="H2:H3"/>
    <mergeCell ref="H4:H5"/>
    <mergeCell ref="H6:H7"/>
    <mergeCell ref="H8:H9"/>
    <mergeCell ref="H10:H11"/>
    <mergeCell ref="I2:I3"/>
    <mergeCell ref="I4:I5"/>
    <mergeCell ref="I6:I7"/>
    <mergeCell ref="I8:I9"/>
    <mergeCell ref="I10:I11"/>
    <mergeCell ref="A12:I12"/>
    <mergeCell ref="F2:G3"/>
    <mergeCell ref="F4:G5"/>
    <mergeCell ref="F6:G7"/>
    <mergeCell ref="F8:G9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  <mergeCell ref="A37:I37"/>
    <mergeCell ref="A31:C31"/>
    <mergeCell ref="A32:C32"/>
    <mergeCell ref="A33:C33"/>
    <mergeCell ref="A34:C34"/>
  </mergeCells>
  <pageMargins left="0.39400000000000002" right="0.39400000000000002" top="0.59099999999999997" bottom="0.59099999999999997" header="0" footer="0"/>
  <pageSetup paperSize="0" firstPageNumber="0" orientation="landscape" useFirstPageNumber="1" horizontalDpi="0" verticalDpi="0" copies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HP</dc:creator>
  <cp:lastModifiedBy>Jaroslav Horna</cp:lastModifiedBy>
  <dcterms:created xsi:type="dcterms:W3CDTF">2021-06-10T20:06:38Z</dcterms:created>
  <dcterms:modified xsi:type="dcterms:W3CDTF">2024-01-29T14:34:01Z</dcterms:modified>
</cp:coreProperties>
</file>