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a\02.ROZPOČTY\"/>
    </mc:Choice>
  </mc:AlternateContent>
  <xr:revisionPtr revIDLastSave="0" documentId="13_ncr:1_{1E034517-A9C2-41D1-B716-37BB02683A4D}" xr6:coauthVersionLast="47" xr6:coauthVersionMax="47" xr10:uidLastSave="{00000000-0000-0000-0000-000000000000}"/>
  <bookViews>
    <workbookView xWindow="-120" yWindow="-120" windowWidth="29040" windowHeight="15840" tabRatio="673" xr2:uid="{00000000-000D-0000-FFFF-FFFF00000000}"/>
  </bookViews>
  <sheets>
    <sheet name="krycí list" sheetId="16" r:id="rId1"/>
    <sheet name="rekapitulace " sheetId="15" r:id="rId2"/>
    <sheet name="položkový rozpočet" sheetId="24" r:id="rId3"/>
    <sheet name="VRN" sheetId="2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0" i="24" l="1"/>
  <c r="G230" i="24"/>
  <c r="E29" i="24"/>
  <c r="E28" i="24" s="1"/>
  <c r="G28" i="24" s="1"/>
  <c r="E24" i="24"/>
  <c r="E23" i="24" s="1"/>
  <c r="G23" i="24" s="1"/>
  <c r="E21" i="24"/>
  <c r="E20" i="24"/>
  <c r="E19" i="24" s="1"/>
  <c r="G19" i="24" s="1"/>
  <c r="G334" i="24"/>
  <c r="G332" i="24"/>
  <c r="G330" i="24"/>
  <c r="G328" i="24"/>
  <c r="G326" i="24"/>
  <c r="G324" i="24"/>
  <c r="G322" i="24"/>
  <c r="G320" i="24"/>
  <c r="G318" i="24"/>
  <c r="G316" i="24"/>
  <c r="G314" i="24"/>
  <c r="G312" i="24"/>
  <c r="G290" i="24"/>
  <c r="G258" i="24"/>
  <c r="G251" i="24"/>
  <c r="G249" i="24"/>
  <c r="G247" i="24"/>
  <c r="G245" i="24"/>
  <c r="G243" i="24"/>
  <c r="G241" i="24"/>
  <c r="G239" i="24"/>
  <c r="G237" i="24"/>
  <c r="G205" i="24"/>
  <c r="G199" i="24"/>
  <c r="G137" i="24"/>
  <c r="G114" i="24"/>
  <c r="G112" i="24"/>
  <c r="G97" i="24"/>
  <c r="G89" i="24"/>
  <c r="G85" i="24"/>
  <c r="G50" i="24"/>
  <c r="G46" i="24"/>
  <c r="G42" i="24"/>
  <c r="G38" i="24"/>
  <c r="G36" i="24"/>
  <c r="G21" i="24"/>
  <c r="E168" i="24"/>
  <c r="E167" i="24" s="1"/>
  <c r="G167" i="24" s="1"/>
  <c r="G228" i="24" l="1"/>
  <c r="G311" i="24"/>
  <c r="E27" i="24" l="1"/>
  <c r="E25" i="24" s="1"/>
  <c r="G25" i="24" s="1"/>
  <c r="E33" i="24"/>
  <c r="E32" i="24" s="1"/>
  <c r="I137" i="24"/>
  <c r="E164" i="24"/>
  <c r="E163" i="24" s="1"/>
  <c r="I97" i="24"/>
  <c r="G9" i="25"/>
  <c r="E23" i="15" s="1"/>
  <c r="R27" i="16" s="1"/>
  <c r="I163" i="24" l="1"/>
  <c r="G163" i="24"/>
  <c r="E224" i="24"/>
  <c r="G224" i="24" s="1"/>
  <c r="G32" i="24"/>
  <c r="E226" i="24"/>
  <c r="G226" i="24" s="1"/>
  <c r="I32" i="24"/>
  <c r="B21" i="15"/>
  <c r="B20" i="15"/>
  <c r="B19" i="15"/>
  <c r="B18" i="15"/>
  <c r="E223" i="24"/>
  <c r="E222" i="24" s="1"/>
  <c r="G222" i="24" s="1"/>
  <c r="E221" i="24"/>
  <c r="E220" i="24" s="1"/>
  <c r="G220" i="24" s="1"/>
  <c r="E219" i="24"/>
  <c r="E218" i="24" s="1"/>
  <c r="G218" i="24" s="1"/>
  <c r="E217" i="24"/>
  <c r="E216" i="24" s="1"/>
  <c r="G216" i="24" s="1"/>
  <c r="E213" i="24"/>
  <c r="E215" i="24"/>
  <c r="E214" i="24" s="1"/>
  <c r="G214" i="24" s="1"/>
  <c r="E211" i="24"/>
  <c r="E300" i="24"/>
  <c r="E299" i="24"/>
  <c r="E298" i="24"/>
  <c r="B16" i="15"/>
  <c r="E201" i="24"/>
  <c r="E297" i="24"/>
  <c r="E296" i="24"/>
  <c r="E295" i="24"/>
  <c r="E294" i="24"/>
  <c r="E293" i="24"/>
  <c r="E292" i="24" s="1"/>
  <c r="G292" i="24" s="1"/>
  <c r="G201" i="24" l="1"/>
  <c r="E203" i="24"/>
  <c r="G203" i="24" s="1"/>
  <c r="E257" i="24"/>
  <c r="E256" i="24" s="1"/>
  <c r="G256" i="24" s="1"/>
  <c r="E275" i="24"/>
  <c r="E268" i="24"/>
  <c r="E267" i="24"/>
  <c r="E266" i="24"/>
  <c r="E265" i="24"/>
  <c r="E264" i="24"/>
  <c r="E263" i="24" s="1"/>
  <c r="G263" i="24" s="1"/>
  <c r="E236" i="24"/>
  <c r="E235" i="24" s="1"/>
  <c r="G235" i="24" s="1"/>
  <c r="B14" i="15"/>
  <c r="B15" i="15"/>
  <c r="B12" i="15"/>
  <c r="E148" i="24"/>
  <c r="E144" i="24"/>
  <c r="E143" i="24" s="1"/>
  <c r="E80" i="24"/>
  <c r="E79" i="24"/>
  <c r="E281" i="24"/>
  <c r="E280" i="24" s="1"/>
  <c r="I112" i="24"/>
  <c r="E192" i="24"/>
  <c r="E191" i="24"/>
  <c r="E179" i="24"/>
  <c r="E178" i="24"/>
  <c r="E177" i="24"/>
  <c r="E176" i="24"/>
  <c r="E175" i="24" s="1"/>
  <c r="E162" i="24"/>
  <c r="E161" i="24"/>
  <c r="E160" i="24"/>
  <c r="E159" i="24"/>
  <c r="E158" i="24"/>
  <c r="E157" i="24" s="1"/>
  <c r="G157" i="24" s="1"/>
  <c r="E154" i="24"/>
  <c r="E153" i="24"/>
  <c r="E152" i="24"/>
  <c r="E151" i="24"/>
  <c r="E150" i="24"/>
  <c r="E149" i="24"/>
  <c r="E156" i="24"/>
  <c r="E155" i="24" s="1"/>
  <c r="E142" i="24"/>
  <c r="E141" i="24" s="1"/>
  <c r="H135" i="24"/>
  <c r="E132" i="24"/>
  <c r="E131" i="24"/>
  <c r="E130" i="24"/>
  <c r="E128" i="24"/>
  <c r="E127" i="24"/>
  <c r="E126" i="24"/>
  <c r="E124" i="24"/>
  <c r="E123" i="24"/>
  <c r="E121" i="24" s="1"/>
  <c r="G121" i="24" s="1"/>
  <c r="E118" i="24"/>
  <c r="E117" i="24" s="1"/>
  <c r="G117" i="24" s="1"/>
  <c r="G116" i="24" s="1"/>
  <c r="C11" i="15"/>
  <c r="E111" i="24"/>
  <c r="E110" i="24" s="1"/>
  <c r="E109" i="24"/>
  <c r="E96" i="24"/>
  <c r="E95" i="24" s="1"/>
  <c r="G95" i="24" s="1"/>
  <c r="E94" i="24"/>
  <c r="E93" i="24" s="1"/>
  <c r="E92" i="24"/>
  <c r="E91" i="24" s="1"/>
  <c r="G91" i="24" s="1"/>
  <c r="I89" i="24"/>
  <c r="E88" i="24"/>
  <c r="E87" i="24" s="1"/>
  <c r="I85" i="24"/>
  <c r="E16" i="24"/>
  <c r="E84" i="24"/>
  <c r="E83" i="24" s="1"/>
  <c r="E82" i="24"/>
  <c r="E81" i="24" s="1"/>
  <c r="G81" i="24" s="1"/>
  <c r="E78" i="24"/>
  <c r="E77" i="24"/>
  <c r="E76" i="24"/>
  <c r="E75" i="24"/>
  <c r="E74" i="24"/>
  <c r="E73" i="24"/>
  <c r="E72" i="24"/>
  <c r="E71" i="24"/>
  <c r="E70" i="24"/>
  <c r="E69" i="24"/>
  <c r="E68" i="24"/>
  <c r="E64" i="24"/>
  <c r="E62" i="24"/>
  <c r="E63" i="24"/>
  <c r="E60" i="24"/>
  <c r="E59" i="24" s="1"/>
  <c r="G59" i="24" s="1"/>
  <c r="E58" i="24"/>
  <c r="E57" i="24"/>
  <c r="E56" i="24" s="1"/>
  <c r="G56" i="24" s="1"/>
  <c r="E55" i="24"/>
  <c r="E54" i="24" s="1"/>
  <c r="G54" i="24" s="1"/>
  <c r="E53" i="24"/>
  <c r="E52" i="24" s="1"/>
  <c r="G52" i="24" s="1"/>
  <c r="E49" i="24"/>
  <c r="E48" i="24" s="1"/>
  <c r="G48" i="24" s="1"/>
  <c r="E44" i="24"/>
  <c r="G44" i="24" s="1"/>
  <c r="E41" i="24"/>
  <c r="E40" i="24" s="1"/>
  <c r="G40" i="24" s="1"/>
  <c r="E35" i="24"/>
  <c r="E34" i="24" s="1"/>
  <c r="E31" i="24"/>
  <c r="E30" i="24" s="1"/>
  <c r="G30" i="24" s="1"/>
  <c r="I25" i="24"/>
  <c r="E18" i="24"/>
  <c r="E15" i="24"/>
  <c r="E11" i="24"/>
  <c r="E13" i="24"/>
  <c r="E12" i="24"/>
  <c r="E190" i="24" l="1"/>
  <c r="G190" i="24" s="1"/>
  <c r="E147" i="24"/>
  <c r="G147" i="24" s="1"/>
  <c r="G253" i="24"/>
  <c r="G234" i="24" s="1"/>
  <c r="G175" i="24"/>
  <c r="E180" i="24"/>
  <c r="E10" i="24"/>
  <c r="G10" i="24" s="1"/>
  <c r="I141" i="24"/>
  <c r="G141" i="24"/>
  <c r="I143" i="24"/>
  <c r="G143" i="24"/>
  <c r="I93" i="24"/>
  <c r="G93" i="24"/>
  <c r="E67" i="24"/>
  <c r="G67" i="24" s="1"/>
  <c r="G275" i="24"/>
  <c r="C20" i="15" s="1"/>
  <c r="I83" i="24"/>
  <c r="G83" i="24"/>
  <c r="E61" i="24"/>
  <c r="G61" i="24" s="1"/>
  <c r="G260" i="24"/>
  <c r="G255" i="24" s="1"/>
  <c r="I155" i="24"/>
  <c r="G155" i="24"/>
  <c r="I34" i="24"/>
  <c r="G34" i="24"/>
  <c r="I110" i="24"/>
  <c r="G110" i="24"/>
  <c r="E286" i="24"/>
  <c r="G286" i="24" s="1"/>
  <c r="G280" i="24"/>
  <c r="I87" i="24"/>
  <c r="G87" i="24"/>
  <c r="E17" i="24"/>
  <c r="G17" i="24" s="1"/>
  <c r="G207" i="24"/>
  <c r="G198" i="24" s="1"/>
  <c r="E14" i="24"/>
  <c r="G14" i="24" s="1"/>
  <c r="C16" i="15"/>
  <c r="I167" i="24"/>
  <c r="C22" i="15"/>
  <c r="C18" i="15"/>
  <c r="E12" i="15"/>
  <c r="E301" i="24"/>
  <c r="G301" i="24" s="1"/>
  <c r="E165" i="24"/>
  <c r="E288" i="24"/>
  <c r="G288" i="24" s="1"/>
  <c r="E282" i="24"/>
  <c r="G282" i="24" s="1"/>
  <c r="I117" i="24"/>
  <c r="I95" i="24"/>
  <c r="I91" i="24"/>
  <c r="I81" i="24"/>
  <c r="I56" i="24"/>
  <c r="I59" i="24"/>
  <c r="I54" i="24"/>
  <c r="I48" i="24"/>
  <c r="B22" i="15"/>
  <c r="B17" i="15"/>
  <c r="B13" i="15"/>
  <c r="B11" i="15"/>
  <c r="I14" i="24" l="1"/>
  <c r="I10" i="24"/>
  <c r="I17" i="24"/>
  <c r="E133" i="24"/>
  <c r="E170" i="24"/>
  <c r="G170" i="24" s="1"/>
  <c r="G165" i="24"/>
  <c r="E145" i="24"/>
  <c r="G145" i="24" s="1"/>
  <c r="G133" i="24"/>
  <c r="E19" i="15"/>
  <c r="D19" i="15" s="1"/>
  <c r="E18" i="15"/>
  <c r="D18" i="15" s="1"/>
  <c r="C24" i="15"/>
  <c r="E16" i="15"/>
  <c r="D16" i="15" s="1"/>
  <c r="E303" i="24"/>
  <c r="E269" i="24"/>
  <c r="E284" i="24"/>
  <c r="G284" i="24" s="1"/>
  <c r="I147" i="24"/>
  <c r="E193" i="24"/>
  <c r="G193" i="24" s="1"/>
  <c r="E182" i="24"/>
  <c r="G182" i="24" s="1"/>
  <c r="G180" i="24"/>
  <c r="I165" i="24"/>
  <c r="I61" i="24"/>
  <c r="E135" i="24"/>
  <c r="G135" i="24" s="1"/>
  <c r="I67" i="24"/>
  <c r="E65" i="24"/>
  <c r="G65" i="24" s="1"/>
  <c r="E305" i="24" l="1"/>
  <c r="G305" i="24" s="1"/>
  <c r="G303" i="24"/>
  <c r="E271" i="24"/>
  <c r="G271" i="24" s="1"/>
  <c r="G269" i="24"/>
  <c r="E307" i="24"/>
  <c r="G307" i="24" s="1"/>
  <c r="E309" i="24"/>
  <c r="G309" i="24" s="1"/>
  <c r="E273" i="24"/>
  <c r="G273" i="24" s="1"/>
  <c r="E184" i="24"/>
  <c r="I135" i="24"/>
  <c r="E139" i="24"/>
  <c r="G139" i="24" s="1"/>
  <c r="I65" i="24"/>
  <c r="G184" i="24" l="1"/>
  <c r="E186" i="24"/>
  <c r="G279" i="24"/>
  <c r="E21" i="15" s="1"/>
  <c r="G277" i="24"/>
  <c r="G262" i="24" s="1"/>
  <c r="E20" i="15" s="1"/>
  <c r="D20" i="15" s="1"/>
  <c r="E188" i="24"/>
  <c r="G188" i="24" s="1"/>
  <c r="G186" i="24"/>
  <c r="E172" i="24"/>
  <c r="G172" i="24" s="1"/>
  <c r="G120" i="24" s="1"/>
  <c r="I145" i="24"/>
  <c r="I139" i="24"/>
  <c r="I46" i="24"/>
  <c r="E212" i="24"/>
  <c r="G212" i="24" s="1"/>
  <c r="I28" i="24"/>
  <c r="E108" i="24"/>
  <c r="G108" i="24" s="1"/>
  <c r="G107" i="24" s="1"/>
  <c r="G174" i="24" l="1"/>
  <c r="E11" i="15"/>
  <c r="D11" i="15" s="1"/>
  <c r="I108" i="24"/>
  <c r="I196" i="24" s="1"/>
  <c r="E196" i="24" s="1"/>
  <c r="G196" i="24" s="1"/>
  <c r="G195" i="24" l="1"/>
  <c r="E15" i="15" s="1"/>
  <c r="E21" i="16"/>
  <c r="D12" i="15"/>
  <c r="I42" i="24" l="1"/>
  <c r="I44" i="24" l="1"/>
  <c r="I40" i="24"/>
  <c r="I21" i="24" l="1"/>
  <c r="I23" i="24"/>
  <c r="I19" i="24" l="1"/>
  <c r="I30" i="24"/>
  <c r="I99" i="24" l="1"/>
  <c r="E99" i="24" s="1"/>
  <c r="E105" i="24" l="1"/>
  <c r="G105" i="24" s="1"/>
  <c r="G99" i="24"/>
  <c r="E101" i="24"/>
  <c r="G101" i="24" s="1"/>
  <c r="E22" i="15"/>
  <c r="B10" i="15"/>
  <c r="E210" i="24"/>
  <c r="G210" i="24" s="1"/>
  <c r="G232" i="24" l="1"/>
  <c r="G209" i="24" s="1"/>
  <c r="D22" i="15"/>
  <c r="E104" i="24"/>
  <c r="E103" i="24" l="1"/>
  <c r="G103" i="24" s="1"/>
  <c r="G9" i="24" s="1"/>
  <c r="E17" i="15"/>
  <c r="G335" i="24" l="1"/>
  <c r="E10" i="15"/>
  <c r="C9" i="15"/>
  <c r="E13" i="15" l="1"/>
  <c r="D13" i="15" l="1"/>
  <c r="E14" i="15"/>
  <c r="D14" i="15" s="1"/>
  <c r="E24" i="15" l="1"/>
  <c r="D10" i="15"/>
  <c r="D15" i="15"/>
  <c r="D21" i="15" l="1"/>
  <c r="D17" i="15"/>
  <c r="D24" i="15" l="1"/>
  <c r="E22" i="16" s="1"/>
  <c r="E27" i="16" s="1"/>
  <c r="R30" i="16" s="1"/>
  <c r="P32" i="16" l="1"/>
  <c r="R32" i="16" s="1"/>
  <c r="R33" i="16" s="1"/>
  <c r="D9" i="15"/>
  <c r="E9" i="15" s="1"/>
</calcChain>
</file>

<file path=xl/sharedStrings.xml><?xml version="1.0" encoding="utf-8"?>
<sst xmlns="http://schemas.openxmlformats.org/spreadsheetml/2006/main" count="585" uniqueCount="398">
  <si>
    <t>bm</t>
  </si>
  <si>
    <t>Celkem</t>
  </si>
  <si>
    <t>1</t>
  </si>
  <si>
    <t>Cena celkem</t>
  </si>
  <si>
    <t>Množství celkem</t>
  </si>
  <si>
    <t>MJ</t>
  </si>
  <si>
    <t>Popis</t>
  </si>
  <si>
    <t>Kód položky</t>
  </si>
  <si>
    <t>P.Č.</t>
  </si>
  <si>
    <t xml:space="preserve">Zpracoval:   </t>
  </si>
  <si>
    <t xml:space="preserve">EČO:   </t>
  </si>
  <si>
    <t xml:space="preserve">Část:   </t>
  </si>
  <si>
    <t xml:space="preserve">JKSO:   </t>
  </si>
  <si>
    <t>ROZPOČET S VÝKAZEM VÝMĚR</t>
  </si>
  <si>
    <t>REKAPITULACE ROZPOČTU</t>
  </si>
  <si>
    <t>Kód</t>
  </si>
  <si>
    <t>Dodávka</t>
  </si>
  <si>
    <t>Montáž</t>
  </si>
  <si>
    <t>2</t>
  </si>
  <si>
    <t>3</t>
  </si>
  <si>
    <t>4</t>
  </si>
  <si>
    <t>5</t>
  </si>
  <si>
    <t>6</t>
  </si>
  <si>
    <t>7</t>
  </si>
  <si>
    <t xml:space="preserve">Práce a dodávky </t>
  </si>
  <si>
    <t>KRYCÍ LIST ROZPOČTU</t>
  </si>
  <si>
    <t>Název stavby</t>
  </si>
  <si>
    <t>JKSO</t>
  </si>
  <si>
    <t>Název objektu</t>
  </si>
  <si>
    <t>EČO</t>
  </si>
  <si>
    <t>Název části</t>
  </si>
  <si>
    <t>Místo</t>
  </si>
  <si>
    <t>IČO</t>
  </si>
  <si>
    <t>DIČ</t>
  </si>
  <si>
    <t>Objednatel</t>
  </si>
  <si>
    <t>Projektant</t>
  </si>
  <si>
    <t>Zhotovitel</t>
  </si>
  <si>
    <t>dle výběrového řízení</t>
  </si>
  <si>
    <t>Rozpočet číslo</t>
  </si>
  <si>
    <t>Zpracoval</t>
  </si>
  <si>
    <t>Dne</t>
  </si>
  <si>
    <t xml:space="preserve">                Měrné a účelové jednotky</t>
  </si>
  <si>
    <t xml:space="preserve">            Počet</t>
  </si>
  <si>
    <t xml:space="preserve">    Náklady / 1 m.j.</t>
  </si>
  <si>
    <t xml:space="preserve">             Počet</t>
  </si>
  <si>
    <t xml:space="preserve">     Náklady / 1 m.j.</t>
  </si>
  <si>
    <t xml:space="preserve">                Počet</t>
  </si>
  <si>
    <t xml:space="preserve">        Náklady / 1 m.j.</t>
  </si>
  <si>
    <t xml:space="preserve">                Rozpočtové náklady v</t>
  </si>
  <si>
    <t>CZK</t>
  </si>
  <si>
    <t>A</t>
  </si>
  <si>
    <t>Základní rozp. náklady</t>
  </si>
  <si>
    <t>B</t>
  </si>
  <si>
    <t>Doplňkové náklady</t>
  </si>
  <si>
    <t>C</t>
  </si>
  <si>
    <t>Náklady na umístění stavby</t>
  </si>
  <si>
    <t>HSV</t>
  </si>
  <si>
    <t>Dodávky</t>
  </si>
  <si>
    <t>8</t>
  </si>
  <si>
    <t>Práce přesčas</t>
  </si>
  <si>
    <t>13</t>
  </si>
  <si>
    <t>Zařízení staveniště</t>
  </si>
  <si>
    <t>9</t>
  </si>
  <si>
    <t>Bez pevné podl.</t>
  </si>
  <si>
    <t>14</t>
  </si>
  <si>
    <t>Mimostav. doprava</t>
  </si>
  <si>
    <t>PSV</t>
  </si>
  <si>
    <t>10</t>
  </si>
  <si>
    <t>Kulturní památka</t>
  </si>
  <si>
    <t>15</t>
  </si>
  <si>
    <t>Územní vlivy</t>
  </si>
  <si>
    <t>11</t>
  </si>
  <si>
    <t>16</t>
  </si>
  <si>
    <t>Provozní vlivy</t>
  </si>
  <si>
    <t>"M"</t>
  </si>
  <si>
    <t>17</t>
  </si>
  <si>
    <t>Ostatní</t>
  </si>
  <si>
    <t>18</t>
  </si>
  <si>
    <t>NUS z rozpočtu</t>
  </si>
  <si>
    <t>ZRN (ř. 1-6)</t>
  </si>
  <si>
    <t>12</t>
  </si>
  <si>
    <t>DN (ř. 8-11)</t>
  </si>
  <si>
    <t>19</t>
  </si>
  <si>
    <t>20</t>
  </si>
  <si>
    <t>HZS</t>
  </si>
  <si>
    <t>21</t>
  </si>
  <si>
    <t>Kompl. činnost</t>
  </si>
  <si>
    <t>22</t>
  </si>
  <si>
    <t>Ostatní náklady</t>
  </si>
  <si>
    <t>D</t>
  </si>
  <si>
    <t>Celkové náklady</t>
  </si>
  <si>
    <t>23</t>
  </si>
  <si>
    <t>Součet 7, 12, 19-22</t>
  </si>
  <si>
    <t>Datum a podpis</t>
  </si>
  <si>
    <t>Razítko</t>
  </si>
  <si>
    <t>24</t>
  </si>
  <si>
    <t>DPH</t>
  </si>
  <si>
    <t>% z</t>
  </si>
  <si>
    <t>25</t>
  </si>
  <si>
    <t>26</t>
  </si>
  <si>
    <t>Cena s DPH (ř. 23-25)</t>
  </si>
  <si>
    <t>E</t>
  </si>
  <si>
    <t>Přípočty a odpočty</t>
  </si>
  <si>
    <t>27</t>
  </si>
  <si>
    <t>Dodávky objednatele</t>
  </si>
  <si>
    <t>28</t>
  </si>
  <si>
    <t>Klouzavá doložka</t>
  </si>
  <si>
    <t>29</t>
  </si>
  <si>
    <t>Zvýhodnění + -</t>
  </si>
  <si>
    <t>m2</t>
  </si>
  <si>
    <t>ks</t>
  </si>
  <si>
    <t xml:space="preserve">                                          </t>
  </si>
  <si>
    <t xml:space="preserve">ks </t>
  </si>
  <si>
    <t>t</t>
  </si>
  <si>
    <t xml:space="preserve">Objekt:           </t>
  </si>
  <si>
    <t xml:space="preserve">bm </t>
  </si>
  <si>
    <t>%</t>
  </si>
  <si>
    <t>1.NP</t>
  </si>
  <si>
    <t>2.NP</t>
  </si>
  <si>
    <t>m3</t>
  </si>
  <si>
    <t>bourací práce</t>
  </si>
  <si>
    <t>bourání zdiva z cihel pálených nad 1 m3</t>
  </si>
  <si>
    <t>0,33*2,80*(4,03+1,79+1,79)</t>
  </si>
  <si>
    <t>0,15*0,50*(2,36+2,36)</t>
  </si>
  <si>
    <t>-(2,34*1,16+0,86*1,16+1,79*1,68)*0,33</t>
  </si>
  <si>
    <t xml:space="preserve">bourání stropů z ŽB desek š přes 300 tl přes 140 mm </t>
  </si>
  <si>
    <t>2,34*1,16</t>
  </si>
  <si>
    <t>vybourání plastových rámů oken včetně křídel pl přes 2 do 4 m2</t>
  </si>
  <si>
    <t>vybourání plastových rámů oken včetně křídel pl do 1 m2</t>
  </si>
  <si>
    <t>0,86*1,16</t>
  </si>
  <si>
    <t xml:space="preserve">demontáž okapového plechu do suti </t>
  </si>
  <si>
    <t xml:space="preserve">demontáž oplechování horních zdí a nadezdívek do suti </t>
  </si>
  <si>
    <t>2,36+2,36</t>
  </si>
  <si>
    <t xml:space="preserve">demontáž podokapního žlabu do suti </t>
  </si>
  <si>
    <t xml:space="preserve">demontáž svodu do suti </t>
  </si>
  <si>
    <t>7,8+0,3+4,1+3,6+0,3+0,4+3,6+0,3+1,8+0,3+0,3</t>
  </si>
  <si>
    <t xml:space="preserve">demontáž lemování zdí do suti </t>
  </si>
  <si>
    <t>3,73+2,36+2,36</t>
  </si>
  <si>
    <t xml:space="preserve">odstranění povlakové krytiny střech dvouvrstvé </t>
  </si>
  <si>
    <t>2,36*4,03</t>
  </si>
  <si>
    <t xml:space="preserve">demontáž konzol klim jednotky na stěnu 2 ks </t>
  </si>
  <si>
    <t xml:space="preserve">demontáž klimatizační jednotky venkovní </t>
  </si>
  <si>
    <t>kus</t>
  </si>
  <si>
    <t xml:space="preserve">kus </t>
  </si>
  <si>
    <t>7,5+8,5</t>
  </si>
  <si>
    <t xml:space="preserve">demontáž markýz výsuvných přes 2000 do 3500 mm </t>
  </si>
  <si>
    <t>R</t>
  </si>
  <si>
    <t xml:space="preserve">demontáž okenic dl do 1,5 m </t>
  </si>
  <si>
    <t xml:space="preserve">demontáž okenic dl do 2,5 m </t>
  </si>
  <si>
    <t xml:space="preserve">demontáž stříšek nad vstupy s výplní z plechu </t>
  </si>
  <si>
    <t>m</t>
  </si>
  <si>
    <t xml:space="preserve">demontáž cedulí a cedulek </t>
  </si>
  <si>
    <t xml:space="preserve">demontáž mříží pevných nebo otvíravých </t>
  </si>
  <si>
    <t>1,08*1,12*2+0,81*1,10</t>
  </si>
  <si>
    <t xml:space="preserve">demontáž drátu nebo lana svodného vedení </t>
  </si>
  <si>
    <t xml:space="preserve">vybourání otvorů ve zdivu cihelném pl do 4m2 </t>
  </si>
  <si>
    <t>1,4*1,8*0,45</t>
  </si>
  <si>
    <t xml:space="preserve">demontáž oplechování parapetů do suti </t>
  </si>
  <si>
    <t>3,78+2,12+0,82+0,82+0,82</t>
  </si>
  <si>
    <t>0,80+0,80</t>
  </si>
  <si>
    <t xml:space="preserve">otlučení omítek vápenocementových vnějších stěn 1 a 2 v rozsahu 80 - 100 % </t>
  </si>
  <si>
    <t xml:space="preserve">2,7*1,65-(1,08*1,12) - pro doplnění umělého kamene </t>
  </si>
  <si>
    <t xml:space="preserve">osekání cementových omítek vnějších ploch v rozsahu přes 50 do 100 % </t>
  </si>
  <si>
    <t>-(0,6*0,6+0,4*0,6+0,4*0,6+1,3*0,5+0,6*0,7)</t>
  </si>
  <si>
    <t xml:space="preserve">1,1*(5,7+5,74+3,03)                                               - severovýchodní pohled </t>
  </si>
  <si>
    <t xml:space="preserve">1,1*(5,07+5,55)                                                      - jihovýchodní pohled </t>
  </si>
  <si>
    <t xml:space="preserve">vyškrábání spár zdiva cihelného mimo komínového </t>
  </si>
  <si>
    <t xml:space="preserve"> </t>
  </si>
  <si>
    <t xml:space="preserve">otlučení cementových omítek vnějších ploch v rozsahu 10 - 20 % </t>
  </si>
  <si>
    <t xml:space="preserve">3,03*2,35                                                                                       </t>
  </si>
  <si>
    <t>13,13*5,45-(1,22*1,3+1,25*1,3+1,35*0,98+1,0*1,23+1,0*1,23) - severovýchodní pohled</t>
  </si>
  <si>
    <t xml:space="preserve">7,87*6,55-(1,4*1,8+1,0*1,24+1,0*1,24)                                       - severozápadní pohled </t>
  </si>
  <si>
    <t>9,21*3,45-(1,16*1,76+1,17*1,85+1,16*1,85)</t>
  </si>
  <si>
    <t>6,18*3,10-(1,0*1,25+1,0*2,02)</t>
  </si>
  <si>
    <t xml:space="preserve">2,75*3,45-(0,8*0,15)                                                                     - jihozápadní pohled </t>
  </si>
  <si>
    <t>5,07*5,45-(0,82*1,18+0,82*1,18+0,82*1,18+0,8*1,08+0,8*1,08)</t>
  </si>
  <si>
    <t>2,8*3,10</t>
  </si>
  <si>
    <t xml:space="preserve">6,95*6,55-(2,90*1,82+1,21*1,54+1,0*1,21+1,0*1,21)                 </t>
  </si>
  <si>
    <t xml:space="preserve">5,55*2,35                                                                                       - jihovýchodní pohled </t>
  </si>
  <si>
    <t>-3,245                                                                        - odpočet vápenocementové omítky</t>
  </si>
  <si>
    <t xml:space="preserve">demontáž prostorové vázané konstrukce z hraněného řeziva </t>
  </si>
  <si>
    <t xml:space="preserve">bourání příček z cihel pálených na MVC tl do 150 mm </t>
  </si>
  <si>
    <t xml:space="preserve">m </t>
  </si>
  <si>
    <t xml:space="preserve">2,95*2                     - dřevěné trámy u hlavního vstupu </t>
  </si>
  <si>
    <t xml:space="preserve">1,1*2,95*2              - příčky u hlavního vstupu </t>
  </si>
  <si>
    <t xml:space="preserve">0,15*4,03*2,11     - strop nad vstupem do sklepa </t>
  </si>
  <si>
    <t xml:space="preserve">0,15*1,29*2,0       - stříška nad hlavním vstupem </t>
  </si>
  <si>
    <t xml:space="preserve">1,25            - stříška nad klimatizací </t>
  </si>
  <si>
    <t>demontáž ventilační mřížky průřezu přes 0,04 do 0,1 m2</t>
  </si>
  <si>
    <t xml:space="preserve">vybourání části ŽB říms vyložených do 500 mm </t>
  </si>
  <si>
    <t>0,24*11</t>
  </si>
  <si>
    <t>767 64 1800</t>
  </si>
  <si>
    <t>demontáž zárubní dveří odřezáním plochy do 2,5 m2</t>
  </si>
  <si>
    <t xml:space="preserve">demontáž krytiny ze svitků do suti </t>
  </si>
  <si>
    <t>3,25*1,0</t>
  </si>
  <si>
    <t xml:space="preserve">demontáž záklopů stropů z hoblovaných prken tl do 32 mm </t>
  </si>
  <si>
    <t>demontáž stropních trámů z hraněného řeziva průřezové pl přes 144 do 288 cm2</t>
  </si>
  <si>
    <t xml:space="preserve">vnitrostaveništní doprava suti a vybouraných hmot pro budovy v přes 6 do 9 m </t>
  </si>
  <si>
    <t xml:space="preserve">odvoz suti a vybouraných hmot na skládku do 1 km se složením </t>
  </si>
  <si>
    <t xml:space="preserve">příplatek k odvozu suti a vybouraných hmot na skládku ZKD 1 km přes 1 km </t>
  </si>
  <si>
    <t>21,154*11</t>
  </si>
  <si>
    <t xml:space="preserve">poplatek za uložení na skládce stavebního odpadu </t>
  </si>
  <si>
    <t xml:space="preserve">základová zeď tl přes 150 do 200 mm z tvárnic ztraceného bednění </t>
  </si>
  <si>
    <t>1,25*(4,0+1,80)</t>
  </si>
  <si>
    <t>výztuž základových pasů betonářskou ocelí 10 505</t>
  </si>
  <si>
    <t>2,0*24*0,89*0,001*1,1</t>
  </si>
  <si>
    <t xml:space="preserve">MAT </t>
  </si>
  <si>
    <t xml:space="preserve">R </t>
  </si>
  <si>
    <t>montáž pergoly</t>
  </si>
  <si>
    <t xml:space="preserve">hliníková pergola, 4000x2000 mm, dva sloupky 110/110 mm, polykarbonátové zastřešení tl 16 mm,  barva antracit, možnost zasklení </t>
  </si>
  <si>
    <t xml:space="preserve">zastřešení schodů do 1.PP </t>
  </si>
  <si>
    <t xml:space="preserve">montáž plast oken pl přes 1m2 otevíravých výška do 2,5 m s rámem do zdiva </t>
  </si>
  <si>
    <t>1,4*1,8</t>
  </si>
  <si>
    <t>truhlářské konstrukce</t>
  </si>
  <si>
    <t>MAT</t>
  </si>
  <si>
    <t xml:space="preserve">okno plastové, dvoukřídlové, s vnitřními dělícími mřížkami </t>
  </si>
  <si>
    <t xml:space="preserve">montáž dřevěných okenic </t>
  </si>
  <si>
    <t xml:space="preserve">dřevěné okenice 580/1350 mm, speciální exteriérová lazura </t>
  </si>
  <si>
    <t xml:space="preserve">dvoukřídlá okenice - kování, aretace </t>
  </si>
  <si>
    <t xml:space="preserve">dřevěné okenice 580/1380 mm, speciální exteriérová lazura </t>
  </si>
  <si>
    <t xml:space="preserve">dřevěné okenice 58/2210 mm, speciální exteriérová lazura </t>
  </si>
  <si>
    <t xml:space="preserve">přesun hmot procentní pro konstrukce truhlářské výška objektu do 12 m </t>
  </si>
  <si>
    <t xml:space="preserve">úprava povrchů vnitřních </t>
  </si>
  <si>
    <t xml:space="preserve">vápenocementová omítka hladká ostění nebo nadpraží </t>
  </si>
  <si>
    <t>0,13*(1,4*2+1,8*2)</t>
  </si>
  <si>
    <t xml:space="preserve">úprava povrchů vnějších </t>
  </si>
  <si>
    <t xml:space="preserve">severovýchodní pohled </t>
  </si>
  <si>
    <t xml:space="preserve">severozápadní pohled </t>
  </si>
  <si>
    <t>3,84*1,65-(0,81*1,09)</t>
  </si>
  <si>
    <t xml:space="preserve">jihozápadní pohled </t>
  </si>
  <si>
    <t>4,25*1,65-(1,08*1,12)</t>
  </si>
  <si>
    <t>4,75*1,65-(0,56*0,59)</t>
  </si>
  <si>
    <t>5,70*0,30-(0,59*0,2+0,6*0,40)</t>
  </si>
  <si>
    <t>5,74*0,8-(0,6*0,4)</t>
  </si>
  <si>
    <t>4,00*2,45-(0,8*2,0)</t>
  </si>
  <si>
    <t>2,75*1,65-(0,8*1,86+0,7*0,4)</t>
  </si>
  <si>
    <t xml:space="preserve">4,46*1,20 </t>
  </si>
  <si>
    <t xml:space="preserve">sanační postřik vnějších stěn nanášený celoplošně ručně </t>
  </si>
  <si>
    <t>622635041R</t>
  </si>
  <si>
    <t xml:space="preserve">oprava spárování cihelného zdiva stěn v rozsahu 100 % </t>
  </si>
  <si>
    <t xml:space="preserve">25,689*2                  - 2 x 15 mm </t>
  </si>
  <si>
    <t xml:space="preserve">očištění vnějších ploch tryskáním křemičitým pískem nesušeným - kamenný sokl </t>
  </si>
  <si>
    <t xml:space="preserve">očištění vnějších ploch tlakovou vodou - omítka </t>
  </si>
  <si>
    <t xml:space="preserve">oprava vnější vápenocementové hladké omítky stěn v rozsahu do 10 % </t>
  </si>
  <si>
    <t xml:space="preserve">cementová omítka hladká jednovrstvá nanášená ručně - renovační stěrka </t>
  </si>
  <si>
    <t>0,15*(1,4*2+1,8*2)</t>
  </si>
  <si>
    <t xml:space="preserve">ostění 1.NP </t>
  </si>
  <si>
    <t xml:space="preserve">ostění 2.NP </t>
  </si>
  <si>
    <t>0,15*(1,16+1,76*2+1,17+1,85*2+1,16+1,85*2+1,21+1,54*2+2,9+1,82+1,4+1,8*2)</t>
  </si>
  <si>
    <t>0,15*(1,25+1,3*2+1,22+1,3*2+0,82+1,18*2+0,82+1,18*2+0,82+1,18*2)</t>
  </si>
  <si>
    <t xml:space="preserve">ostění 1.PP </t>
  </si>
  <si>
    <t>0,45*(0,80+2,0*2)</t>
  </si>
  <si>
    <t>0,2*(1,8*2+1,12*2+1,08*2+1,12*2+0,81*2+1,09*2)</t>
  </si>
  <si>
    <t>0,15*(1+1,32*2+1+2,18*2+1+1,28*2+1+1,28*2+1+1,32*2+1,0+1,32*2+1+1,28*2)</t>
  </si>
  <si>
    <t>0,15*(1,0+1,28*2+0,8+1,08*2+0,8+1,08*2)</t>
  </si>
  <si>
    <t xml:space="preserve">zakrytí výplní otvorů a svislých ploch fólií přilepenou lepící páskou </t>
  </si>
  <si>
    <t>1.PP</t>
  </si>
  <si>
    <t>0,56*0,9+0,7*0,4+1,08*1,12+1,08*1,12+0,81*1,09+0,9*2,0</t>
  </si>
  <si>
    <t>1,16*1,76+1,17*1,85+1,16*1,85+1,21*1,54+2,9*1,82+1,4*1,8+1,25*1,3</t>
  </si>
  <si>
    <t>0,98*2,13+1,22*1,30+0,82*1,18+0,82*1,18+0,82*1,18</t>
  </si>
  <si>
    <t>1,0*1,32+1,0*2,18+1,0*1,28+1,0*1,28+1,0*1,32+1,0*1,32+1,0*1,28+1,0*1,28</t>
  </si>
  <si>
    <t>0,8*1,08+0,8*1,08</t>
  </si>
  <si>
    <t xml:space="preserve">cementový postřik nanášený celoplošně ručně - 10 % </t>
  </si>
  <si>
    <t xml:space="preserve">krycí dvojnásobný nátěr silikonový stupně členitosti 1 a 2 </t>
  </si>
  <si>
    <t xml:space="preserve">příplatek k cenám dvojnásobného nátěru za provedení styku dvou barev </t>
  </si>
  <si>
    <t xml:space="preserve">příplatek za barevné provedení v odstínu světlém </t>
  </si>
  <si>
    <t xml:space="preserve">montáž lešení řadového trubkového lehkého s podlahami v do 10 m </t>
  </si>
  <si>
    <t>14,13*9,0+4,0*4,0</t>
  </si>
  <si>
    <t>9,0*9,0+3,75*6,0</t>
  </si>
  <si>
    <t>7,5*9,0+10,0*6,0</t>
  </si>
  <si>
    <t>6,5*5,0+5,5*7,0</t>
  </si>
  <si>
    <t xml:space="preserve">příplatek k lešení řadovému trubkovému lehkému s podlahami v do 10 m </t>
  </si>
  <si>
    <t xml:space="preserve">demontáž lešení řadového trubkového s podlahami v do 10 m </t>
  </si>
  <si>
    <t xml:space="preserve">příplatek k ochranné síti za první a ZKD den použití </t>
  </si>
  <si>
    <t xml:space="preserve">demontáž ochranné sítě z textilie z umělých vláken </t>
  </si>
  <si>
    <t xml:space="preserve">montáž ochranné sítě z textilie z umělých vláken </t>
  </si>
  <si>
    <t xml:space="preserve">montáž lešení řadového rámového lehkého </t>
  </si>
  <si>
    <t>6,20*3,5</t>
  </si>
  <si>
    <t>2,8*3,5</t>
  </si>
  <si>
    <t xml:space="preserve">demontáž lešení řadového rámového lehkého </t>
  </si>
  <si>
    <t xml:space="preserve">obklady z kamene </t>
  </si>
  <si>
    <t xml:space="preserve">penetrace podkladu obkladu z kamene </t>
  </si>
  <si>
    <t xml:space="preserve">montáž obkladů stěn z dlaždic betonových do 6 ks/m2 kladených do lepidla </t>
  </si>
  <si>
    <t>příplatek k montáži obkladu stěn z kamene a betonu za plochu do 10 m2</t>
  </si>
  <si>
    <t xml:space="preserve">spárování kamenných obkladů </t>
  </si>
  <si>
    <t>2,7*1,86-(1,08*1,12)</t>
  </si>
  <si>
    <t>4,60*0,50</t>
  </si>
  <si>
    <t>5,55*0,40</t>
  </si>
  <si>
    <t>3,03*0,20</t>
  </si>
  <si>
    <t>5,07*0,20</t>
  </si>
  <si>
    <t xml:space="preserve">betonový obklad, imitace kamene, přírodní hnědá barva </t>
  </si>
  <si>
    <t xml:space="preserve">přesun hmot </t>
  </si>
  <si>
    <t xml:space="preserve">přesun hmot pro budovy zděné v přes 6 do 12 m </t>
  </si>
  <si>
    <t xml:space="preserve">odstranění nátěru oškrábáním </t>
  </si>
  <si>
    <t xml:space="preserve">odmaštění zámečnických konstrukcí vodou ředitelným odmašťovačem </t>
  </si>
  <si>
    <t xml:space="preserve">ometení zámečnických konstrukcí </t>
  </si>
  <si>
    <t>(1,08*1,12+1,08*1,12+0,81*1,09)*2</t>
  </si>
  <si>
    <t xml:space="preserve">základní antikorozní jednonásobný syntetický nátěr zámečnických konstr. </t>
  </si>
  <si>
    <t>mezinátěr jednonásobný syntetický standardní zámečnických konstrukcí</t>
  </si>
  <si>
    <t>nátěry</t>
  </si>
  <si>
    <t xml:space="preserve">0,40*(13,93+13,93+7,87+7,87)                                 - římsa </t>
  </si>
  <si>
    <t>0,20*(13,93+13,93+7,87+7,87)                                 - římsa</t>
  </si>
  <si>
    <t>272,511*0,1</t>
  </si>
  <si>
    <t xml:space="preserve">272,511+25,689+0,96 </t>
  </si>
  <si>
    <t xml:space="preserve">montáž stříšek nad vstupy kotvených pomocí závěsů rovných výplň z plechu </t>
  </si>
  <si>
    <t>stříška nad vstup, 1500x900x145 mm, z práškově lakovaného hliníku v antracitové barvě</t>
  </si>
  <si>
    <t xml:space="preserve">masivní vchodová stříška s integrovaným chrličem vody z práškově lakovaného hliníku v antracitové barvě, integrované led světlo 2000x900x145 mm </t>
  </si>
  <si>
    <t xml:space="preserve">montáž stříšek nad vstupy kotvených pomocí závěsů rovných výplň z plechu š přes 1500 do 2000 mm </t>
  </si>
  <si>
    <t>ostatní konstrukce a práce</t>
  </si>
  <si>
    <t xml:space="preserve">K001 </t>
  </si>
  <si>
    <t xml:space="preserve">zpětná motnáž cedulí na fasádu </t>
  </si>
  <si>
    <t xml:space="preserve">lešení </t>
  </si>
  <si>
    <t xml:space="preserve">klempířské konstrukce </t>
  </si>
  <si>
    <t xml:space="preserve">zpětná montáž větrací jednotky </t>
  </si>
  <si>
    <t xml:space="preserve">osazování ventilačních mřížek velikosti do 300 x 300 mm </t>
  </si>
  <si>
    <t xml:space="preserve">ventilační mřížka 300 x 300 mm </t>
  </si>
  <si>
    <t xml:space="preserve">zámečnické konstrukce </t>
  </si>
  <si>
    <t xml:space="preserve">montáž mříží pevných přivařených </t>
  </si>
  <si>
    <t>6,604/2</t>
  </si>
  <si>
    <t xml:space="preserve">zpětná montáž hromosvodu včetně revize </t>
  </si>
  <si>
    <t xml:space="preserve">změna umístění zvonkového tabla </t>
  </si>
  <si>
    <t xml:space="preserve">osazování ventilačních mřížek velikosti do 150 x 200 mm </t>
  </si>
  <si>
    <t xml:space="preserve">ventilační mřížka pr 100 mm </t>
  </si>
  <si>
    <t xml:space="preserve">jemné obroušení podkladu truhlářských konstrukcí před provedením nátěru </t>
  </si>
  <si>
    <t xml:space="preserve">ometení podkladu truhlářských konstrukcí před provedením nátěru </t>
  </si>
  <si>
    <t>lokální tmelení truhlářských konstrukcí včetně přebroušení epoxidovým tmelem</t>
  </si>
  <si>
    <t xml:space="preserve">jednonásobný napouštěcí syntetický nátěr truhlářských konstrukcí </t>
  </si>
  <si>
    <t xml:space="preserve">základní jednonásobný syntetický nátěr truhlářských konstrukcí </t>
  </si>
  <si>
    <t xml:space="preserve">krycí jednonásobný syntetický nátěr truhlářských konstrukcí </t>
  </si>
  <si>
    <t xml:space="preserve">renovace stávajících vchodových dveří -  broušení původního nátěru, vytmelení, napouštěcí nátěr, základní nátěr, krycí nátěr  </t>
  </si>
  <si>
    <t>9,21*0,08*2*3+9,21*0,06*2*3</t>
  </si>
  <si>
    <t>3,03*0,08*2*3+3,03*0,06*2*3</t>
  </si>
  <si>
    <t>5,55*0,08*2*3+5,55*0,06*2*3</t>
  </si>
  <si>
    <t>0,10*1,1*2*13+0,09*1,1*2*13</t>
  </si>
  <si>
    <t xml:space="preserve">2,75*0,08*2*3+2,75*0,06*2*3     - zábradlí </t>
  </si>
  <si>
    <t>tesařské konstrukce</t>
  </si>
  <si>
    <t xml:space="preserve">řezivo </t>
  </si>
  <si>
    <t xml:space="preserve">m3 </t>
  </si>
  <si>
    <t xml:space="preserve">stropní trám - předpoklad 160/180 mm, délka 3,25 m </t>
  </si>
  <si>
    <t xml:space="preserve">doplnění části stropního trámu z hranolů průřezové pl přes 224 do 288 cm2 </t>
  </si>
  <si>
    <t>spojovací prostředky pro montáž prostorových vázaných kcí</t>
  </si>
  <si>
    <t>0,16*0,20*27*2</t>
  </si>
  <si>
    <t>0,18*0,20*27*2</t>
  </si>
  <si>
    <t>0,16*0,18*27                                 - přesahy terasy</t>
  </si>
  <si>
    <t xml:space="preserve">úprava ukotvení stávajících mříží </t>
  </si>
  <si>
    <t xml:space="preserve">oplechování parapetů rovných RŠ 330 z Al plechu </t>
  </si>
  <si>
    <t>1,16*2+1,17*1</t>
  </si>
  <si>
    <t xml:space="preserve">oplechování parapetů rovných RŠ 250 z Al plechu </t>
  </si>
  <si>
    <t>1,21+1,25+1,22+0,82*3+1,0*7+0,8*2</t>
  </si>
  <si>
    <t xml:space="preserve">oplechování parapetů oblých nebo ze segmentů mechan kot a Al plechu RŠ 250 </t>
  </si>
  <si>
    <t>3,78+2,12</t>
  </si>
  <si>
    <t xml:space="preserve">lemování zdí z Al plechu RŠ 400 </t>
  </si>
  <si>
    <t>4,0+2,0+1,6*2</t>
  </si>
  <si>
    <t xml:space="preserve">svody kruhové vč objímek, kolen, odskoků z Al plechu pr 120 mm </t>
  </si>
  <si>
    <t>8+4+4+4,5</t>
  </si>
  <si>
    <t xml:space="preserve">zabednění části záklopu stropu prkny tl do 32 mm pl jednotlivě přes 1 do 4 m2 </t>
  </si>
  <si>
    <t xml:space="preserve">montáž krytiny střechy rovné drážkováním ze svitků rš do 600 mm sklonu do 30° </t>
  </si>
  <si>
    <t>napojení klempířských konstrukcí na stávající délky spoje přes 0,5 m</t>
  </si>
  <si>
    <t>3,25*2</t>
  </si>
  <si>
    <t xml:space="preserve">% </t>
  </si>
  <si>
    <t>přesun hmot procentní pro konstrukce klempířské v objektech v přes 6 do 12 m</t>
  </si>
  <si>
    <t xml:space="preserve">přesun hmot procentní pro kce tesařské v obj přes 6 do 12 m </t>
  </si>
  <si>
    <t xml:space="preserve">přesun hmot procentní pro zámečnické konstrukce v obj přes 6 m do 12 m </t>
  </si>
  <si>
    <t>přesun hmot procentní pro obklady kamenné v objektech v přes 6 do 12 m</t>
  </si>
  <si>
    <t>vedlejší rozpočtové náklady</t>
  </si>
  <si>
    <t xml:space="preserve">vedleší rozpočtové náklady </t>
  </si>
  <si>
    <t xml:space="preserve">VRN 1 </t>
  </si>
  <si>
    <t xml:space="preserve">zařízení staveniště </t>
  </si>
  <si>
    <t xml:space="preserve">VRN 2 </t>
  </si>
  <si>
    <t xml:space="preserve">provozní vlivy </t>
  </si>
  <si>
    <t xml:space="preserve">VRN 3 </t>
  </si>
  <si>
    <t>mimostaveništní doprava</t>
  </si>
  <si>
    <t xml:space="preserve">Oprava fasády objektu "K" výpočetní středisko Nemocnice Děčín </t>
  </si>
  <si>
    <t xml:space="preserve">VRN </t>
  </si>
  <si>
    <t xml:space="preserve">Krajská zdravotní, a.s., Sociální péče 3316/12A, Ústí nad Labem </t>
  </si>
  <si>
    <t xml:space="preserve">Stavba:        Oprava fasády objektu "K" výpočetní středisko Nemocnice Děčín </t>
  </si>
  <si>
    <t xml:space="preserve">Objednatel:   Krajská zdravotní, a.s. </t>
  </si>
  <si>
    <t xml:space="preserve">Stavba:          Oprava fasády objektu "K" výpočetní středisko Nemocnice Děčín </t>
  </si>
  <si>
    <t xml:space="preserve">Stavba:           Oprava fasády objektu "K" výpočetní středisko Nemocnice Děčín </t>
  </si>
  <si>
    <t xml:space="preserve">vysekání rýh ve zdivu cihelném hl do 50 mm š do 70 mm - odhad </t>
  </si>
  <si>
    <t xml:space="preserve">vyrovnávací vrstva pod klempířské prvky z MC š do 150  </t>
  </si>
  <si>
    <t>3,41+14,74+5,90</t>
  </si>
  <si>
    <t>vyplnění a omítnutí rýh při elektroinstalacích ve stěnách hl přes 3 do 5 cm, š do 7</t>
  </si>
  <si>
    <t>sanační jádrová omítka nanášená ručně s vysokým obsahem pórů, hydrofobiz.</t>
  </si>
  <si>
    <t>14+14+8,75+8,75</t>
  </si>
  <si>
    <t xml:space="preserve">demontáž podokapního žlabu k dalšímu použití </t>
  </si>
  <si>
    <t>6,1+9,91+1,15</t>
  </si>
  <si>
    <t xml:space="preserve">montáž žlabu podokapního půlkulatého </t>
  </si>
  <si>
    <t xml:space="preserve">žlab podokapní půlkruhový z Al plechu rš 330 mm </t>
  </si>
  <si>
    <t>1,8*0,60*2</t>
  </si>
  <si>
    <t xml:space="preserve">spárování venkovního keramického obkladu </t>
  </si>
  <si>
    <t>764 52 1424</t>
  </si>
  <si>
    <t>roh nebo kout půlkruhového podokapního žlabu z Al plechu rš 330 mm</t>
  </si>
  <si>
    <t>oplechování štítu závětrnou lištou z Al plechu rš 330 mm</t>
  </si>
  <si>
    <t xml:space="preserve">Datum:      </t>
  </si>
  <si>
    <t xml:space="preserve">Zhotovitel:     </t>
  </si>
  <si>
    <t xml:space="preserve">Datum:       </t>
  </si>
  <si>
    <t xml:space="preserve">Zhotovitel: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</si>
</sst>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0;\-#,##0.000"/>
    <numFmt numFmtId="165" formatCode="###0.000;\-###0.000"/>
    <numFmt numFmtId="166" formatCode="###0;\-###0"/>
    <numFmt numFmtId="167" formatCode="#,##0.00_ ;\-#,##0.00\ "/>
    <numFmt numFmtId="168" formatCode="0.00%;\-0.00%"/>
    <numFmt numFmtId="169" formatCode="#,##0.000_ ;\-#,##0.000\ "/>
    <numFmt numFmtId="171" formatCode="0.000"/>
    <numFmt numFmtId="183" formatCode="#,##0\ &quot;Kč&quot;"/>
  </numFmts>
  <fonts count="30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MS Sans Serif"/>
      <family val="2"/>
      <charset val="238"/>
    </font>
    <font>
      <b/>
      <u/>
      <sz val="8"/>
      <color indexed="10"/>
      <name val="Arial CE"/>
      <charset val="238"/>
    </font>
    <font>
      <sz val="7"/>
      <name val="Arial CE"/>
      <charset val="238"/>
    </font>
    <font>
      <b/>
      <sz val="14"/>
      <color indexed="10"/>
      <name val="Arial CE"/>
      <charset val="238"/>
    </font>
    <font>
      <b/>
      <sz val="14"/>
      <color indexed="10"/>
      <name val="Arial CE"/>
      <charset val="110"/>
    </font>
    <font>
      <sz val="7"/>
      <name val="Arial CE"/>
      <charset val="110"/>
    </font>
    <font>
      <sz val="10"/>
      <name val="Arial"/>
      <family val="2"/>
      <charset val="238"/>
    </font>
    <font>
      <b/>
      <sz val="18"/>
      <color indexed="10"/>
      <name val="Arial CE"/>
      <charset val="110"/>
    </font>
    <font>
      <sz val="8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MS Sans Serif"/>
      <family val="2"/>
      <charset val="238"/>
    </font>
    <font>
      <sz val="10"/>
      <color rgb="FFFF0000"/>
      <name val="Calibri"/>
      <family val="2"/>
      <charset val="238"/>
      <scheme val="minor"/>
    </font>
    <font>
      <sz val="10"/>
      <color rgb="FF0000F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FF"/>
      <name val="Calibri"/>
      <family val="2"/>
      <charset val="238"/>
      <scheme val="minor"/>
    </font>
    <font>
      <b/>
      <u/>
      <sz val="11"/>
      <color indexed="10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1"/>
      <color indexed="18"/>
      <name val="Calibri"/>
      <family val="2"/>
      <charset val="238"/>
    </font>
    <font>
      <b/>
      <u/>
      <sz val="11"/>
      <color indexed="10"/>
      <name val="Calibri"/>
      <family val="2"/>
      <charset val="238"/>
    </font>
    <font>
      <sz val="11"/>
      <color rgb="FF646464"/>
      <name val="Segoe UI"/>
      <family val="2"/>
      <charset val="238"/>
    </font>
    <font>
      <sz val="11"/>
      <color rgb="FF000000"/>
      <name val="Segoe UI"/>
      <family val="2"/>
      <charset val="238"/>
    </font>
    <font>
      <b/>
      <sz val="11"/>
      <color rgb="FF1FAD4B"/>
      <name val="Segoe UI"/>
      <family val="2"/>
      <charset val="238"/>
    </font>
    <font>
      <sz val="8"/>
      <name val="Arial CE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 applyAlignment="0">
      <alignment vertical="top" wrapText="1"/>
      <protection locked="0"/>
    </xf>
    <xf numFmtId="0" fontId="1" fillId="0" borderId="0"/>
    <xf numFmtId="0" fontId="29" fillId="0" borderId="0"/>
  </cellStyleXfs>
  <cellXfs count="298">
    <xf numFmtId="0" fontId="0" fillId="0" borderId="0" xfId="0"/>
    <xf numFmtId="0" fontId="3" fillId="0" borderId="0" xfId="1" applyAlignment="1">
      <alignment horizontal="left" vertical="top"/>
      <protection locked="0"/>
    </xf>
    <xf numFmtId="39" fontId="4" fillId="0" borderId="0" xfId="1" applyNumberFormat="1" applyFont="1" applyAlignment="1">
      <alignment horizontal="right" vertical="center"/>
      <protection locked="0"/>
    </xf>
    <xf numFmtId="0" fontId="9" fillId="0" borderId="13" xfId="1" applyFont="1" applyBorder="1" applyAlignment="1" applyProtection="1">
      <alignment horizontal="left"/>
    </xf>
    <xf numFmtId="0" fontId="9" fillId="0" borderId="7" xfId="1" applyFont="1" applyBorder="1" applyAlignment="1" applyProtection="1">
      <alignment horizontal="left"/>
    </xf>
    <xf numFmtId="0" fontId="9" fillId="0" borderId="14" xfId="1" applyFont="1" applyBorder="1" applyAlignment="1" applyProtection="1">
      <alignment horizontal="left"/>
    </xf>
    <xf numFmtId="0" fontId="9" fillId="0" borderId="15" xfId="1" applyFont="1" applyBorder="1" applyAlignment="1" applyProtection="1">
      <alignment horizontal="left"/>
    </xf>
    <xf numFmtId="0" fontId="9" fillId="0" borderId="0" xfId="1" applyFont="1" applyAlignment="1" applyProtection="1">
      <alignment horizontal="left"/>
    </xf>
    <xf numFmtId="0" fontId="10" fillId="0" borderId="0" xfId="1" applyFont="1" applyAlignment="1" applyProtection="1">
      <alignment horizontal="left"/>
    </xf>
    <xf numFmtId="0" fontId="9" fillId="0" borderId="16" xfId="1" applyFont="1" applyBorder="1" applyAlignment="1" applyProtection="1">
      <alignment horizontal="left"/>
    </xf>
    <xf numFmtId="0" fontId="9" fillId="0" borderId="17" xfId="1" applyFont="1" applyBorder="1" applyAlignment="1" applyProtection="1">
      <alignment horizontal="left"/>
    </xf>
    <xf numFmtId="0" fontId="9" fillId="0" borderId="8" xfId="1" applyFont="1" applyBorder="1" applyAlignment="1" applyProtection="1">
      <alignment horizontal="left"/>
    </xf>
    <xf numFmtId="0" fontId="9" fillId="0" borderId="11" xfId="1" applyFont="1" applyBorder="1" applyAlignment="1" applyProtection="1">
      <alignment horizontal="left"/>
    </xf>
    <xf numFmtId="0" fontId="11" fillId="0" borderId="14" xfId="1" applyFont="1" applyBorder="1" applyAlignment="1" applyProtection="1">
      <alignment horizontal="left" vertical="center"/>
    </xf>
    <xf numFmtId="0" fontId="11" fillId="0" borderId="16" xfId="1" applyFont="1" applyBorder="1" applyAlignment="1" applyProtection="1">
      <alignment horizontal="left" vertical="center"/>
    </xf>
    <xf numFmtId="0" fontId="11" fillId="0" borderId="24" xfId="1" applyFont="1" applyBorder="1" applyAlignment="1" applyProtection="1">
      <alignment horizontal="left" vertical="center"/>
    </xf>
    <xf numFmtId="0" fontId="11" fillId="0" borderId="11" xfId="1" applyFont="1" applyBorder="1" applyAlignment="1" applyProtection="1">
      <alignment horizontal="left" vertical="center"/>
    </xf>
    <xf numFmtId="0" fontId="11" fillId="0" borderId="26" xfId="1" applyFont="1" applyBorder="1" applyAlignment="1" applyProtection="1">
      <alignment horizontal="left" vertical="center"/>
    </xf>
    <xf numFmtId="0" fontId="11" fillId="0" borderId="31" xfId="1" applyFont="1" applyBorder="1" applyAlignment="1" applyProtection="1">
      <alignment horizontal="left" vertical="center"/>
    </xf>
    <xf numFmtId="166" fontId="9" fillId="0" borderId="36" xfId="1" applyNumberFormat="1" applyFont="1" applyBorder="1" applyAlignment="1" applyProtection="1">
      <alignment horizontal="right" vertical="center"/>
    </xf>
    <xf numFmtId="0" fontId="2" fillId="0" borderId="31" xfId="1" applyFont="1" applyBorder="1" applyAlignment="1" applyProtection="1">
      <alignment horizontal="left" vertical="center"/>
    </xf>
    <xf numFmtId="0" fontId="11" fillId="0" borderId="42" xfId="1" applyFont="1" applyBorder="1" applyAlignment="1" applyProtection="1">
      <alignment horizontal="left" vertical="center"/>
    </xf>
    <xf numFmtId="0" fontId="11" fillId="0" borderId="56" xfId="1" applyFont="1" applyBorder="1" applyAlignment="1" applyProtection="1">
      <alignment horizontal="left" vertical="center"/>
    </xf>
    <xf numFmtId="0" fontId="11" fillId="0" borderId="36" xfId="1" applyFont="1" applyBorder="1" applyAlignment="1" applyProtection="1">
      <alignment horizontal="left" vertical="center"/>
    </xf>
    <xf numFmtId="0" fontId="14" fillId="0" borderId="0" xfId="1" applyFont="1" applyAlignment="1">
      <alignment horizontal="left" vertical="top"/>
      <protection locked="0"/>
    </xf>
    <xf numFmtId="0" fontId="14" fillId="0" borderId="0" xfId="1" applyFont="1" applyAlignment="1">
      <alignment horizontal="left" vertical="center" wrapText="1"/>
      <protection locked="0"/>
    </xf>
    <xf numFmtId="39" fontId="14" fillId="0" borderId="0" xfId="1" applyNumberFormat="1" applyFont="1" applyAlignment="1">
      <alignment horizontal="left" vertical="top"/>
      <protection locked="0"/>
    </xf>
    <xf numFmtId="0" fontId="12" fillId="0" borderId="0" xfId="1" applyFont="1" applyAlignment="1">
      <alignment horizontal="left" vertical="top"/>
      <protection locked="0"/>
    </xf>
    <xf numFmtId="0" fontId="15" fillId="0" borderId="0" xfId="1" applyFont="1" applyAlignment="1">
      <alignment horizontal="left" vertical="top"/>
      <protection locked="0"/>
    </xf>
    <xf numFmtId="37" fontId="12" fillId="0" borderId="0" xfId="1" applyNumberFormat="1" applyFont="1" applyAlignment="1">
      <alignment horizontal="center" vertical="center"/>
      <protection locked="0"/>
    </xf>
    <xf numFmtId="0" fontId="12" fillId="0" borderId="0" xfId="1" applyFont="1" applyAlignment="1">
      <alignment horizontal="center" vertical="center" wrapText="1"/>
      <protection locked="0"/>
    </xf>
    <xf numFmtId="0" fontId="12" fillId="0" borderId="0" xfId="1" applyFont="1" applyAlignment="1">
      <alignment horizontal="left" vertical="center" wrapText="1"/>
      <protection locked="0"/>
    </xf>
    <xf numFmtId="0" fontId="12" fillId="0" borderId="0" xfId="1" applyFont="1" applyAlignment="1">
      <alignment horizontal="right" vertical="center" wrapText="1"/>
      <protection locked="0"/>
    </xf>
    <xf numFmtId="39" fontId="12" fillId="0" borderId="0" xfId="1" applyNumberFormat="1" applyFont="1" applyAlignment="1">
      <alignment horizontal="right" vertical="center"/>
      <protection locked="0"/>
    </xf>
    <xf numFmtId="37" fontId="13" fillId="0" borderId="0" xfId="1" applyNumberFormat="1" applyFont="1" applyAlignment="1">
      <alignment horizontal="center" vertical="center"/>
      <protection locked="0"/>
    </xf>
    <xf numFmtId="0" fontId="13" fillId="0" borderId="0" xfId="1" applyFont="1" applyAlignment="1">
      <alignment horizontal="center" vertical="center" wrapText="1"/>
      <protection locked="0"/>
    </xf>
    <xf numFmtId="39" fontId="13" fillId="0" borderId="0" xfId="1" applyNumberFormat="1" applyFont="1" applyAlignment="1">
      <alignment horizontal="right" vertical="center"/>
      <protection locked="0"/>
    </xf>
    <xf numFmtId="164" fontId="12" fillId="0" borderId="0" xfId="1" applyNumberFormat="1" applyFont="1" applyAlignment="1">
      <alignment horizontal="right" vertical="center"/>
      <protection locked="0"/>
    </xf>
    <xf numFmtId="169" fontId="12" fillId="0" borderId="0" xfId="1" applyNumberFormat="1" applyFont="1" applyAlignment="1">
      <alignment horizontal="right" vertical="center" wrapText="1"/>
      <protection locked="0"/>
    </xf>
    <xf numFmtId="39" fontId="16" fillId="0" borderId="0" xfId="1" applyNumberFormat="1" applyFont="1" applyAlignment="1">
      <alignment horizontal="right" vertical="center"/>
      <protection locked="0"/>
    </xf>
    <xf numFmtId="37" fontId="12" fillId="0" borderId="2" xfId="1" applyNumberFormat="1" applyFont="1" applyBorder="1" applyAlignment="1">
      <alignment horizontal="center" vertical="center"/>
      <protection locked="0"/>
    </xf>
    <xf numFmtId="0" fontId="12" fillId="0" borderId="2" xfId="1" applyFont="1" applyBorder="1" applyAlignment="1">
      <alignment horizontal="center" vertical="center" wrapText="1"/>
      <protection locked="0"/>
    </xf>
    <xf numFmtId="0" fontId="17" fillId="0" borderId="2" xfId="1" applyFont="1" applyBorder="1" applyAlignment="1">
      <alignment horizontal="left" vertical="center" wrapText="1"/>
      <protection locked="0"/>
    </xf>
    <xf numFmtId="164" fontId="12" fillId="0" borderId="2" xfId="1" applyNumberFormat="1" applyFont="1" applyBorder="1" applyAlignment="1">
      <alignment horizontal="right" vertical="center"/>
      <protection locked="0"/>
    </xf>
    <xf numFmtId="39" fontId="12" fillId="0" borderId="2" xfId="1" applyNumberFormat="1" applyFont="1" applyBorder="1" applyAlignment="1">
      <alignment horizontal="right" vertical="center"/>
      <protection locked="0"/>
    </xf>
    <xf numFmtId="0" fontId="17" fillId="0" borderId="0" xfId="1" applyFont="1" applyAlignment="1">
      <alignment horizontal="left" vertical="center" wrapText="1"/>
      <protection locked="0"/>
    </xf>
    <xf numFmtId="0" fontId="12" fillId="0" borderId="2" xfId="2" applyFont="1" applyBorder="1" applyAlignment="1" applyProtection="1">
      <alignment horizontal="center" vertical="center"/>
      <protection locked="0"/>
    </xf>
    <xf numFmtId="0" fontId="12" fillId="0" borderId="2" xfId="2" applyFont="1" applyBorder="1" applyAlignment="1" applyProtection="1">
      <alignment horizontal="right" vertical="center"/>
      <protection locked="0"/>
    </xf>
    <xf numFmtId="0" fontId="12" fillId="0" borderId="2" xfId="2" applyFont="1" applyBorder="1" applyAlignment="1" applyProtection="1">
      <alignment horizontal="left" vertical="center" wrapText="1"/>
      <protection locked="0"/>
    </xf>
    <xf numFmtId="0" fontId="12" fillId="0" borderId="2" xfId="1" applyFont="1" applyBorder="1" applyAlignment="1" applyProtection="1">
      <alignment horizontal="center" vertical="center" wrapText="1"/>
    </xf>
    <xf numFmtId="0" fontId="12" fillId="0" borderId="2" xfId="1" applyFont="1" applyBorder="1" applyAlignment="1" applyProtection="1">
      <alignment horizontal="left" vertical="center" wrapText="1"/>
    </xf>
    <xf numFmtId="165" fontId="12" fillId="0" borderId="2" xfId="1" applyNumberFormat="1" applyFont="1" applyBorder="1" applyAlignment="1" applyProtection="1">
      <alignment horizontal="right" vertical="center"/>
    </xf>
    <xf numFmtId="2" fontId="12" fillId="0" borderId="2" xfId="1" applyNumberFormat="1" applyFont="1" applyBorder="1" applyAlignment="1" applyProtection="1">
      <alignment horizontal="right" vertical="center"/>
    </xf>
    <xf numFmtId="0" fontId="12" fillId="0" borderId="0" xfId="1" applyFont="1" applyAlignment="1" applyProtection="1">
      <alignment horizontal="center" vertical="center" wrapText="1"/>
    </xf>
    <xf numFmtId="0" fontId="12" fillId="0" borderId="0" xfId="1" applyFont="1" applyAlignment="1" applyProtection="1">
      <alignment horizontal="left" vertical="center" wrapText="1"/>
    </xf>
    <xf numFmtId="165" fontId="12" fillId="0" borderId="0" xfId="1" applyNumberFormat="1" applyFont="1" applyAlignment="1" applyProtection="1">
      <alignment horizontal="right" vertical="center"/>
    </xf>
    <xf numFmtId="2" fontId="12" fillId="0" borderId="0" xfId="1" applyNumberFormat="1" applyFont="1" applyAlignment="1" applyProtection="1">
      <alignment horizontal="right" vertical="center"/>
    </xf>
    <xf numFmtId="0" fontId="12" fillId="0" borderId="2" xfId="1" applyFont="1" applyBorder="1" applyAlignment="1">
      <alignment horizontal="left" vertical="center" wrapText="1"/>
      <protection locked="0"/>
    </xf>
    <xf numFmtId="0" fontId="14" fillId="0" borderId="0" xfId="1" applyFont="1" applyAlignment="1" applyProtection="1">
      <alignment horizontal="center" vertical="center" wrapText="1"/>
    </xf>
    <xf numFmtId="37" fontId="19" fillId="0" borderId="0" xfId="1" applyNumberFormat="1" applyFont="1" applyAlignment="1">
      <alignment horizontal="center" vertical="center"/>
      <protection locked="0"/>
    </xf>
    <xf numFmtId="0" fontId="19" fillId="0" borderId="0" xfId="1" applyFont="1" applyAlignment="1">
      <alignment horizontal="center" vertical="center" wrapText="1"/>
      <protection locked="0"/>
    </xf>
    <xf numFmtId="0" fontId="19" fillId="0" borderId="0" xfId="1" applyFont="1" applyAlignment="1">
      <alignment horizontal="left" vertical="center" wrapText="1"/>
      <protection locked="0"/>
    </xf>
    <xf numFmtId="164" fontId="19" fillId="0" borderId="0" xfId="1" applyNumberFormat="1" applyFont="1" applyAlignment="1">
      <alignment horizontal="right" vertical="center"/>
      <protection locked="0"/>
    </xf>
    <xf numFmtId="39" fontId="19" fillId="0" borderId="0" xfId="1" applyNumberFormat="1" applyFont="1" applyAlignment="1">
      <alignment horizontal="right" vertical="center"/>
      <protection locked="0"/>
    </xf>
    <xf numFmtId="37" fontId="14" fillId="0" borderId="60" xfId="1" applyNumberFormat="1" applyFont="1" applyBorder="1" applyAlignment="1">
      <alignment horizontal="center" vertical="center"/>
      <protection locked="0"/>
    </xf>
    <xf numFmtId="0" fontId="14" fillId="0" borderId="61" xfId="1" applyFont="1" applyBorder="1" applyAlignment="1">
      <alignment horizontal="center" vertical="center" wrapText="1"/>
      <protection locked="0"/>
    </xf>
    <xf numFmtId="0" fontId="14" fillId="0" borderId="61" xfId="1" applyFont="1" applyBorder="1" applyAlignment="1">
      <alignment horizontal="left" vertical="center" wrapText="1"/>
      <protection locked="0"/>
    </xf>
    <xf numFmtId="164" fontId="14" fillId="0" borderId="61" xfId="1" applyNumberFormat="1" applyFont="1" applyBorder="1" applyAlignment="1">
      <alignment horizontal="right" vertical="center"/>
      <protection locked="0"/>
    </xf>
    <xf numFmtId="39" fontId="14" fillId="0" borderId="61" xfId="1" applyNumberFormat="1" applyFont="1" applyBorder="1" applyAlignment="1">
      <alignment horizontal="right" vertical="center"/>
      <protection locked="0"/>
    </xf>
    <xf numFmtId="39" fontId="14" fillId="0" borderId="65" xfId="1" applyNumberFormat="1" applyFont="1" applyBorder="1" applyAlignment="1">
      <alignment horizontal="right" vertical="center"/>
      <protection locked="0"/>
    </xf>
    <xf numFmtId="37" fontId="14" fillId="0" borderId="0" xfId="1" applyNumberFormat="1" applyFont="1" applyAlignment="1">
      <alignment horizontal="center" vertical="center"/>
      <protection locked="0"/>
    </xf>
    <xf numFmtId="0" fontId="14" fillId="0" borderId="0" xfId="1" applyFont="1" applyAlignment="1">
      <alignment horizontal="center" vertical="center" wrapText="1"/>
      <protection locked="0"/>
    </xf>
    <xf numFmtId="164" fontId="14" fillId="0" borderId="0" xfId="1" applyNumberFormat="1" applyFont="1" applyAlignment="1">
      <alignment horizontal="right" vertical="center"/>
      <protection locked="0"/>
    </xf>
    <xf numFmtId="39" fontId="14" fillId="0" borderId="0" xfId="1" applyNumberFormat="1" applyFont="1" applyAlignment="1">
      <alignment horizontal="right" vertical="center"/>
      <protection locked="0"/>
    </xf>
    <xf numFmtId="0" fontId="14" fillId="0" borderId="0" xfId="1" applyFont="1" applyAlignment="1">
      <alignment horizontal="right" vertical="center" wrapText="1"/>
      <protection locked="0"/>
    </xf>
    <xf numFmtId="0" fontId="14" fillId="0" borderId="62" xfId="1" applyFont="1" applyBorder="1" applyAlignment="1">
      <alignment horizontal="left" vertical="center" wrapText="1"/>
      <protection locked="0"/>
    </xf>
    <xf numFmtId="0" fontId="14" fillId="0" borderId="63" xfId="1" applyFont="1" applyBorder="1" applyAlignment="1">
      <alignment horizontal="center" vertical="center" wrapText="1"/>
      <protection locked="0"/>
    </xf>
    <xf numFmtId="39" fontId="18" fillId="0" borderId="0" xfId="1" applyNumberFormat="1" applyFont="1" applyAlignment="1">
      <alignment horizontal="right" vertical="center"/>
      <protection locked="0"/>
    </xf>
    <xf numFmtId="37" fontId="14" fillId="0" borderId="2" xfId="1" applyNumberFormat="1" applyFont="1" applyBorder="1" applyAlignment="1">
      <alignment horizontal="center" vertical="center"/>
      <protection locked="0"/>
    </xf>
    <xf numFmtId="0" fontId="14" fillId="0" borderId="2" xfId="1" applyFont="1" applyBorder="1" applyAlignment="1">
      <alignment horizontal="center" vertical="center" wrapText="1"/>
      <protection locked="0"/>
    </xf>
    <xf numFmtId="39" fontId="14" fillId="0" borderId="2" xfId="1" applyNumberFormat="1" applyFont="1" applyBorder="1" applyAlignment="1">
      <alignment horizontal="right" vertical="center"/>
      <protection locked="0"/>
    </xf>
    <xf numFmtId="37" fontId="20" fillId="0" borderId="60" xfId="1" applyNumberFormat="1" applyFont="1" applyBorder="1" applyAlignment="1">
      <alignment horizontal="center" vertical="center"/>
      <protection locked="0"/>
    </xf>
    <xf numFmtId="0" fontId="20" fillId="0" borderId="61" xfId="1" applyFont="1" applyBorder="1" applyAlignment="1">
      <alignment horizontal="center" vertical="center" wrapText="1"/>
      <protection locked="0"/>
    </xf>
    <xf numFmtId="0" fontId="20" fillId="0" borderId="61" xfId="1" applyFont="1" applyBorder="1" applyAlignment="1">
      <alignment horizontal="left" vertical="center" wrapText="1"/>
      <protection locked="0"/>
    </xf>
    <xf numFmtId="164" fontId="20" fillId="0" borderId="61" xfId="1" applyNumberFormat="1" applyFont="1" applyBorder="1" applyAlignment="1">
      <alignment horizontal="right" vertical="center"/>
      <protection locked="0"/>
    </xf>
    <xf numFmtId="39" fontId="20" fillId="0" borderId="61" xfId="1" applyNumberFormat="1" applyFont="1" applyBorder="1" applyAlignment="1">
      <alignment horizontal="right" vertical="center"/>
      <protection locked="0"/>
    </xf>
    <xf numFmtId="39" fontId="20" fillId="0" borderId="65" xfId="1" applyNumberFormat="1" applyFont="1" applyBorder="1" applyAlignment="1">
      <alignment horizontal="right" vertical="center"/>
      <protection locked="0"/>
    </xf>
    <xf numFmtId="0" fontId="14" fillId="0" borderId="61" xfId="2" applyFont="1" applyBorder="1" applyAlignment="1" applyProtection="1">
      <alignment horizontal="center" vertical="center"/>
      <protection locked="0"/>
    </xf>
    <xf numFmtId="169" fontId="14" fillId="0" borderId="61" xfId="2" applyNumberFormat="1" applyFont="1" applyBorder="1" applyAlignment="1" applyProtection="1">
      <alignment horizontal="right" vertical="center"/>
      <protection locked="0"/>
    </xf>
    <xf numFmtId="0" fontId="14" fillId="0" borderId="61" xfId="2" applyFont="1" applyBorder="1" applyAlignment="1" applyProtection="1">
      <alignment horizontal="right" vertical="center"/>
      <protection locked="0"/>
    </xf>
    <xf numFmtId="0" fontId="14" fillId="0" borderId="61" xfId="2" applyFont="1" applyBorder="1" applyAlignment="1" applyProtection="1">
      <alignment horizontal="left" vertical="center" wrapText="1"/>
      <protection locked="0"/>
    </xf>
    <xf numFmtId="0" fontId="14" fillId="0" borderId="0" xfId="1" applyFont="1" applyAlignment="1" applyProtection="1">
      <alignment horizontal="left" vertical="center" wrapText="1"/>
    </xf>
    <xf numFmtId="165" fontId="14" fillId="0" borderId="0" xfId="1" applyNumberFormat="1" applyFont="1" applyAlignment="1" applyProtection="1">
      <alignment horizontal="right" vertical="center"/>
    </xf>
    <xf numFmtId="2" fontId="14" fillId="0" borderId="0" xfId="1" applyNumberFormat="1" applyFont="1" applyAlignment="1" applyProtection="1">
      <alignment horizontal="right" vertical="center"/>
    </xf>
    <xf numFmtId="0" fontId="14" fillId="0" borderId="64" xfId="1" applyFont="1" applyBorder="1" applyAlignment="1" applyProtection="1">
      <alignment horizontal="center" vertical="center" wrapText="1"/>
    </xf>
    <xf numFmtId="0" fontId="14" fillId="0" borderId="61" xfId="1" applyFont="1" applyBorder="1" applyAlignment="1" applyProtection="1">
      <alignment horizontal="left" vertical="center" wrapText="1"/>
    </xf>
    <xf numFmtId="0" fontId="14" fillId="0" borderId="61" xfId="1" applyFont="1" applyBorder="1" applyAlignment="1" applyProtection="1">
      <alignment horizontal="center" vertical="center" wrapText="1"/>
    </xf>
    <xf numFmtId="165" fontId="14" fillId="0" borderId="61" xfId="1" applyNumberFormat="1" applyFont="1" applyBorder="1" applyAlignment="1" applyProtection="1">
      <alignment horizontal="right" vertical="center"/>
    </xf>
    <xf numFmtId="2" fontId="14" fillId="0" borderId="61" xfId="1" applyNumberFormat="1" applyFont="1" applyBorder="1" applyAlignment="1" applyProtection="1">
      <alignment horizontal="right" vertical="center"/>
    </xf>
    <xf numFmtId="37" fontId="21" fillId="0" borderId="0" xfId="1" applyNumberFormat="1" applyFont="1" applyAlignment="1">
      <alignment horizontal="right" vertical="center"/>
      <protection locked="0"/>
    </xf>
    <xf numFmtId="0" fontId="21" fillId="0" borderId="0" xfId="1" applyFont="1" applyAlignment="1">
      <alignment horizontal="left" vertical="center" wrapText="1"/>
      <protection locked="0"/>
    </xf>
    <xf numFmtId="164" fontId="21" fillId="0" borderId="0" xfId="1" applyNumberFormat="1" applyFont="1" applyAlignment="1">
      <alignment horizontal="right" vertical="center"/>
      <protection locked="0"/>
    </xf>
    <xf numFmtId="39" fontId="21" fillId="0" borderId="0" xfId="1" applyNumberFormat="1" applyFont="1" applyAlignment="1">
      <alignment horizontal="right" vertical="center"/>
      <protection locked="0"/>
    </xf>
    <xf numFmtId="0" fontId="14" fillId="0" borderId="0" xfId="1" applyFont="1" applyAlignment="1">
      <alignment horizontal="left" vertical="center"/>
      <protection locked="0"/>
    </xf>
    <xf numFmtId="0" fontId="23" fillId="0" borderId="0" xfId="1" applyFont="1" applyAlignment="1">
      <alignment horizontal="left" vertical="top"/>
      <protection locked="0"/>
    </xf>
    <xf numFmtId="0" fontId="24" fillId="0" borderId="0" xfId="1" applyFont="1" applyAlignment="1">
      <alignment horizontal="left" wrapText="1"/>
      <protection locked="0"/>
    </xf>
    <xf numFmtId="39" fontId="24" fillId="0" borderId="0" xfId="1" applyNumberFormat="1" applyFont="1" applyAlignment="1">
      <alignment horizontal="right"/>
      <protection locked="0"/>
    </xf>
    <xf numFmtId="0" fontId="22" fillId="0" borderId="0" xfId="1" applyFont="1" applyAlignment="1">
      <alignment horizontal="center" wrapText="1"/>
      <protection locked="0"/>
    </xf>
    <xf numFmtId="0" fontId="22" fillId="0" borderId="0" xfId="1" applyFont="1" applyAlignment="1">
      <alignment horizontal="left" wrapText="1"/>
      <protection locked="0"/>
    </xf>
    <xf numFmtId="39" fontId="22" fillId="0" borderId="0" xfId="1" applyNumberFormat="1" applyFont="1" applyAlignment="1">
      <alignment horizontal="right"/>
      <protection locked="0"/>
    </xf>
    <xf numFmtId="167" fontId="23" fillId="0" borderId="0" xfId="1" applyNumberFormat="1" applyFont="1" applyAlignment="1">
      <alignment horizontal="left" vertical="top"/>
      <protection locked="0"/>
    </xf>
    <xf numFmtId="0" fontId="25" fillId="0" borderId="0" xfId="1" applyFont="1" applyAlignment="1">
      <alignment horizontal="left" wrapText="1"/>
      <protection locked="0"/>
    </xf>
    <xf numFmtId="39" fontId="25" fillId="0" borderId="0" xfId="1" applyNumberFormat="1" applyFont="1" applyAlignment="1">
      <alignment horizontal="right"/>
      <protection locked="0"/>
    </xf>
    <xf numFmtId="0" fontId="8" fillId="0" borderId="0" xfId="1" applyFont="1" applyFill="1" applyAlignment="1" applyProtection="1">
      <alignment horizontal="left"/>
    </xf>
    <xf numFmtId="0" fontId="3" fillId="0" borderId="0" xfId="1" applyFill="1" applyAlignment="1">
      <alignment horizontal="left" vertical="top"/>
      <protection locked="0"/>
    </xf>
    <xf numFmtId="0" fontId="23" fillId="0" borderId="0" xfId="1" applyFont="1" applyFill="1" applyAlignment="1" applyProtection="1">
      <alignment horizontal="left"/>
    </xf>
    <xf numFmtId="0" fontId="5" fillId="0" borderId="0" xfId="1" applyFont="1" applyFill="1" applyAlignment="1" applyProtection="1">
      <alignment horizontal="left"/>
    </xf>
    <xf numFmtId="0" fontId="14" fillId="0" borderId="13" xfId="1" applyFont="1" applyBorder="1" applyAlignment="1" applyProtection="1">
      <alignment horizontal="left" vertical="center"/>
    </xf>
    <xf numFmtId="0" fontId="14" fillId="0" borderId="7" xfId="1" applyFont="1" applyBorder="1" applyAlignment="1" applyProtection="1">
      <alignment horizontal="left" vertical="center"/>
    </xf>
    <xf numFmtId="0" fontId="14" fillId="0" borderId="15" xfId="1" applyFont="1" applyBorder="1" applyAlignment="1" applyProtection="1">
      <alignment horizontal="left" vertical="center"/>
    </xf>
    <xf numFmtId="0" fontId="14" fillId="0" borderId="0" xfId="1" applyFont="1" applyAlignment="1" applyProtection="1">
      <alignment horizontal="left" vertical="center"/>
    </xf>
    <xf numFmtId="0" fontId="19" fillId="0" borderId="18" xfId="1" applyFont="1" applyBorder="1" applyAlignment="1" applyProtection="1">
      <alignment horizontal="left" vertical="center"/>
    </xf>
    <xf numFmtId="0" fontId="14" fillId="0" borderId="19" xfId="1" applyFont="1" applyBorder="1" applyAlignment="1" applyProtection="1">
      <alignment horizontal="left" vertical="center"/>
    </xf>
    <xf numFmtId="0" fontId="14" fillId="0" borderId="20" xfId="1" applyFont="1" applyBorder="1" applyAlignment="1" applyProtection="1">
      <alignment horizontal="left" vertical="center"/>
    </xf>
    <xf numFmtId="0" fontId="14" fillId="0" borderId="0" xfId="1" applyFont="1" applyAlignment="1" applyProtection="1">
      <alignment horizontal="left" vertical="center"/>
    </xf>
    <xf numFmtId="0" fontId="14" fillId="0" borderId="18" xfId="1" applyFont="1" applyBorder="1" applyAlignment="1" applyProtection="1">
      <alignment horizontal="left" vertical="center"/>
    </xf>
    <xf numFmtId="0" fontId="19" fillId="0" borderId="21" xfId="1" applyFont="1" applyBorder="1" applyAlignment="1" applyProtection="1">
      <alignment horizontal="left" vertical="center"/>
    </xf>
    <xf numFmtId="0" fontId="14" fillId="0" borderId="22" xfId="1" applyFont="1" applyBorder="1" applyAlignment="1" applyProtection="1">
      <alignment horizontal="left" vertical="center"/>
    </xf>
    <xf numFmtId="0" fontId="14" fillId="0" borderId="21" xfId="1" applyFont="1" applyBorder="1" applyAlignment="1" applyProtection="1">
      <alignment horizontal="left" vertical="center"/>
    </xf>
    <xf numFmtId="0" fontId="14" fillId="0" borderId="23" xfId="1" applyFont="1" applyBorder="1" applyAlignment="1" applyProtection="1">
      <alignment horizontal="left" vertical="center"/>
    </xf>
    <xf numFmtId="0" fontId="14" fillId="0" borderId="10" xfId="1" applyFont="1" applyBorder="1" applyAlignment="1" applyProtection="1">
      <alignment horizontal="left" vertical="center"/>
    </xf>
    <xf numFmtId="0" fontId="14" fillId="0" borderId="9" xfId="1" applyFont="1" applyBorder="1" applyAlignment="1" applyProtection="1">
      <alignment horizontal="left" vertical="center"/>
    </xf>
    <xf numFmtId="0" fontId="14" fillId="0" borderId="5" xfId="1" applyFont="1" applyBorder="1" applyAlignment="1" applyProtection="1">
      <alignment horizontal="left" vertical="center"/>
    </xf>
    <xf numFmtId="0" fontId="14" fillId="0" borderId="24" xfId="1" applyFont="1" applyBorder="1" applyAlignment="1" applyProtection="1">
      <alignment horizontal="left" vertical="center"/>
    </xf>
    <xf numFmtId="0" fontId="14" fillId="0" borderId="5" xfId="1" applyFont="1" applyBorder="1" applyAlignment="1" applyProtection="1">
      <alignment horizontal="left" vertical="center"/>
    </xf>
    <xf numFmtId="0" fontId="14" fillId="0" borderId="24" xfId="1" applyFont="1" applyBorder="1" applyAlignment="1" applyProtection="1">
      <alignment horizontal="left" vertical="center"/>
    </xf>
    <xf numFmtId="0" fontId="14" fillId="0" borderId="12" xfId="1" applyFont="1" applyBorder="1" applyAlignment="1" applyProtection="1">
      <alignment horizontal="left" vertical="center"/>
    </xf>
    <xf numFmtId="0" fontId="14" fillId="0" borderId="4" xfId="1" applyFont="1" applyBorder="1" applyAlignment="1" applyProtection="1">
      <alignment horizontal="left" vertical="center"/>
    </xf>
    <xf numFmtId="49" fontId="14" fillId="0" borderId="5" xfId="1" applyNumberFormat="1" applyFont="1" applyBorder="1" applyAlignment="1" applyProtection="1">
      <alignment horizontal="left" vertical="center"/>
    </xf>
    <xf numFmtId="49" fontId="14" fillId="0" borderId="24" xfId="1" applyNumberFormat="1" applyFont="1" applyBorder="1" applyAlignment="1" applyProtection="1">
      <alignment horizontal="left" vertical="center"/>
    </xf>
    <xf numFmtId="0" fontId="14" fillId="0" borderId="17" xfId="1" applyFont="1" applyBorder="1" applyAlignment="1" applyProtection="1">
      <alignment horizontal="left" vertical="center"/>
    </xf>
    <xf numFmtId="0" fontId="14" fillId="0" borderId="8" xfId="1" applyFont="1" applyBorder="1" applyAlignment="1" applyProtection="1">
      <alignment horizontal="left" vertical="center"/>
    </xf>
    <xf numFmtId="0" fontId="14" fillId="0" borderId="6" xfId="1" applyFont="1" applyBorder="1" applyAlignment="1" applyProtection="1">
      <alignment horizontal="left" vertical="center"/>
    </xf>
    <xf numFmtId="0" fontId="14" fillId="0" borderId="25" xfId="1" applyFont="1" applyBorder="1" applyAlignment="1" applyProtection="1">
      <alignment horizontal="left" vertical="center"/>
    </xf>
    <xf numFmtId="0" fontId="19" fillId="0" borderId="25" xfId="1" applyFont="1" applyBorder="1" applyAlignment="1" applyProtection="1">
      <alignment horizontal="left" vertical="center"/>
    </xf>
    <xf numFmtId="0" fontId="14" fillId="0" borderId="27" xfId="1" applyFont="1" applyBorder="1" applyAlignment="1" applyProtection="1">
      <alignment horizontal="left" vertical="center"/>
    </xf>
    <xf numFmtId="0" fontId="14" fillId="0" borderId="28" xfId="1" applyFont="1" applyBorder="1" applyAlignment="1" applyProtection="1">
      <alignment horizontal="left" vertical="center"/>
    </xf>
    <xf numFmtId="0" fontId="14" fillId="0" borderId="29" xfId="1" applyFont="1" applyBorder="1" applyAlignment="1" applyProtection="1">
      <alignment horizontal="left" vertical="center"/>
    </xf>
    <xf numFmtId="0" fontId="14" fillId="0" borderId="30" xfId="1" applyFont="1" applyBorder="1" applyAlignment="1" applyProtection="1">
      <alignment horizontal="left" vertical="center"/>
    </xf>
    <xf numFmtId="166" fontId="14" fillId="0" borderId="32" xfId="1" applyNumberFormat="1" applyFont="1" applyBorder="1" applyAlignment="1" applyProtection="1">
      <alignment horizontal="right" vertical="center"/>
    </xf>
    <xf numFmtId="166" fontId="14" fillId="0" borderId="33" xfId="1" applyNumberFormat="1" applyFont="1" applyBorder="1" applyAlignment="1" applyProtection="1">
      <alignment horizontal="right" vertical="center"/>
    </xf>
    <xf numFmtId="37" fontId="14" fillId="0" borderId="34" xfId="1" applyNumberFormat="1" applyFont="1" applyBorder="1" applyAlignment="1" applyProtection="1">
      <alignment horizontal="right" vertical="center"/>
    </xf>
    <xf numFmtId="39" fontId="14" fillId="0" borderId="35" xfId="1" applyNumberFormat="1" applyFont="1" applyBorder="1" applyAlignment="1" applyProtection="1">
      <alignment horizontal="right" vertical="center"/>
    </xf>
    <xf numFmtId="166" fontId="14" fillId="0" borderId="34" xfId="1" applyNumberFormat="1" applyFont="1" applyBorder="1" applyAlignment="1" applyProtection="1">
      <alignment horizontal="right" vertical="center"/>
    </xf>
    <xf numFmtId="166" fontId="14" fillId="0" borderId="35" xfId="1" applyNumberFormat="1" applyFont="1" applyBorder="1" applyAlignment="1" applyProtection="1">
      <alignment horizontal="right" vertical="center"/>
    </xf>
    <xf numFmtId="37" fontId="14" fillId="0" borderId="8" xfId="1" applyNumberFormat="1" applyFont="1" applyBorder="1" applyAlignment="1" applyProtection="1">
      <alignment horizontal="right" vertical="center"/>
    </xf>
    <xf numFmtId="39" fontId="14" fillId="0" borderId="33" xfId="1" applyNumberFormat="1" applyFont="1" applyBorder="1" applyAlignment="1" applyProtection="1">
      <alignment horizontal="right" vertical="center"/>
    </xf>
    <xf numFmtId="0" fontId="19" fillId="0" borderId="25" xfId="1" applyFont="1" applyBorder="1" applyAlignment="1" applyProtection="1">
      <alignment horizontal="left" vertical="center" wrapText="1"/>
    </xf>
    <xf numFmtId="0" fontId="19" fillId="0" borderId="27" xfId="1" applyFont="1" applyBorder="1" applyAlignment="1" applyProtection="1">
      <alignment horizontal="left" vertical="center"/>
    </xf>
    <xf numFmtId="0" fontId="19" fillId="0" borderId="29" xfId="1" applyFont="1" applyBorder="1" applyAlignment="1" applyProtection="1">
      <alignment horizontal="left" vertical="center"/>
    </xf>
    <xf numFmtId="0" fontId="19" fillId="0" borderId="30" xfId="1" applyFont="1" applyBorder="1" applyAlignment="1" applyProtection="1">
      <alignment horizontal="left" vertical="center"/>
    </xf>
    <xf numFmtId="0" fontId="19" fillId="0" borderId="28" xfId="1" applyFont="1" applyBorder="1" applyAlignment="1" applyProtection="1">
      <alignment horizontal="left" vertical="center"/>
    </xf>
    <xf numFmtId="0" fontId="19" fillId="0" borderId="31" xfId="1" applyFont="1" applyBorder="1" applyAlignment="1" applyProtection="1">
      <alignment horizontal="left" vertical="center"/>
    </xf>
    <xf numFmtId="0" fontId="19" fillId="0" borderId="0" xfId="1" applyFont="1" applyAlignment="1" applyProtection="1">
      <alignment horizontal="left" vertical="center"/>
    </xf>
    <xf numFmtId="0" fontId="14" fillId="0" borderId="37" xfId="1" applyFont="1" applyBorder="1" applyAlignment="1" applyProtection="1">
      <alignment horizontal="center" vertical="center"/>
    </xf>
    <xf numFmtId="0" fontId="19" fillId="0" borderId="38" xfId="1" applyFont="1" applyBorder="1" applyAlignment="1" applyProtection="1">
      <alignment horizontal="left" vertical="center"/>
    </xf>
    <xf numFmtId="0" fontId="14" fillId="0" borderId="39" xfId="1" applyFont="1" applyBorder="1" applyAlignment="1" applyProtection="1">
      <alignment horizontal="left" vertical="center"/>
    </xf>
    <xf numFmtId="0" fontId="14" fillId="0" borderId="40" xfId="1" applyFont="1" applyBorder="1" applyAlignment="1" applyProtection="1">
      <alignment horizontal="left" vertical="center"/>
    </xf>
    <xf numFmtId="39" fontId="14" fillId="0" borderId="41" xfId="1" applyNumberFormat="1" applyFont="1" applyBorder="1" applyAlignment="1" applyProtection="1">
      <alignment horizontal="right" vertical="center"/>
    </xf>
    <xf numFmtId="0" fontId="14" fillId="0" borderId="42" xfId="1" applyFont="1" applyBorder="1" applyAlignment="1" applyProtection="1">
      <alignment horizontal="left" vertical="center"/>
    </xf>
    <xf numFmtId="0" fontId="14" fillId="0" borderId="41" xfId="1" applyFont="1" applyBorder="1" applyAlignment="1" applyProtection="1">
      <alignment horizontal="left" vertical="center"/>
    </xf>
    <xf numFmtId="0" fontId="14" fillId="0" borderId="43" xfId="1" applyFont="1" applyBorder="1" applyAlignment="1" applyProtection="1">
      <alignment horizontal="left" vertical="center"/>
    </xf>
    <xf numFmtId="37" fontId="14" fillId="0" borderId="41" xfId="1" applyNumberFormat="1" applyFont="1" applyBorder="1" applyAlignment="1" applyProtection="1">
      <alignment horizontal="right" vertical="center"/>
    </xf>
    <xf numFmtId="166" fontId="14" fillId="0" borderId="44" xfId="1" applyNumberFormat="1" applyFont="1" applyBorder="1" applyAlignment="1" applyProtection="1">
      <alignment horizontal="right" vertical="center"/>
    </xf>
    <xf numFmtId="0" fontId="14" fillId="0" borderId="44" xfId="1" applyFont="1" applyBorder="1" applyAlignment="1" applyProtection="1">
      <alignment horizontal="left" vertical="center"/>
    </xf>
    <xf numFmtId="168" fontId="14" fillId="0" borderId="40" xfId="1" applyNumberFormat="1" applyFont="1" applyBorder="1" applyAlignment="1" applyProtection="1">
      <alignment horizontal="right" vertical="center"/>
    </xf>
    <xf numFmtId="0" fontId="14" fillId="0" borderId="45" xfId="1" applyFont="1" applyBorder="1" applyAlignment="1" applyProtection="1">
      <alignment horizontal="left" vertical="center"/>
    </xf>
    <xf numFmtId="0" fontId="14" fillId="0" borderId="46" xfId="1" applyFont="1" applyBorder="1" applyAlignment="1" applyProtection="1">
      <alignment horizontal="left" vertical="center"/>
    </xf>
    <xf numFmtId="0" fontId="14" fillId="0" borderId="47" xfId="1" applyFont="1" applyBorder="1" applyAlignment="1" applyProtection="1">
      <alignment horizontal="center" vertical="center"/>
    </xf>
    <xf numFmtId="0" fontId="19" fillId="0" borderId="41" xfId="1" applyFont="1" applyBorder="1" applyAlignment="1" applyProtection="1">
      <alignment horizontal="left" vertical="center"/>
    </xf>
    <xf numFmtId="39" fontId="19" fillId="0" borderId="6" xfId="1" applyNumberFormat="1" applyFont="1" applyBorder="1" applyAlignment="1" applyProtection="1">
      <alignment horizontal="right" vertical="center"/>
    </xf>
    <xf numFmtId="0" fontId="14" fillId="0" borderId="26" xfId="1" applyFont="1" applyBorder="1" applyAlignment="1" applyProtection="1">
      <alignment horizontal="left" vertical="center"/>
    </xf>
    <xf numFmtId="37" fontId="14" fillId="0" borderId="6" xfId="1" applyNumberFormat="1" applyFont="1" applyBorder="1" applyAlignment="1" applyProtection="1">
      <alignment horizontal="right" vertical="center"/>
    </xf>
    <xf numFmtId="166" fontId="14" fillId="0" borderId="26" xfId="1" applyNumberFormat="1" applyFont="1" applyBorder="1" applyAlignment="1" applyProtection="1">
      <alignment horizontal="right" vertical="center"/>
    </xf>
    <xf numFmtId="0" fontId="14" fillId="0" borderId="48" xfId="1" applyFont="1" applyBorder="1" applyAlignment="1" applyProtection="1">
      <alignment horizontal="center" vertical="center"/>
    </xf>
    <xf numFmtId="0" fontId="14" fillId="0" borderId="35" xfId="1" applyFont="1" applyBorder="1" applyAlignment="1" applyProtection="1">
      <alignment horizontal="left" vertical="center"/>
    </xf>
    <xf numFmtId="0" fontId="14" fillId="0" borderId="33" xfId="1" applyFont="1" applyBorder="1" applyAlignment="1" applyProtection="1">
      <alignment horizontal="left" vertical="center"/>
    </xf>
    <xf numFmtId="0" fontId="14" fillId="0" borderId="34" xfId="1" applyFont="1" applyBorder="1" applyAlignment="1" applyProtection="1">
      <alignment horizontal="left" vertical="center"/>
    </xf>
    <xf numFmtId="39" fontId="14" fillId="0" borderId="49" xfId="1" applyNumberFormat="1" applyFont="1" applyBorder="1" applyAlignment="1" applyProtection="1">
      <alignment horizontal="right" vertical="center"/>
    </xf>
    <xf numFmtId="0" fontId="14" fillId="0" borderId="11" xfId="1" applyFont="1" applyBorder="1" applyAlignment="1" applyProtection="1">
      <alignment horizontal="left" vertical="center"/>
    </xf>
    <xf numFmtId="39" fontId="14" fillId="0" borderId="25" xfId="1" applyNumberFormat="1" applyFont="1" applyBorder="1" applyAlignment="1" applyProtection="1">
      <alignment horizontal="right" vertical="center"/>
    </xf>
    <xf numFmtId="166" fontId="14" fillId="0" borderId="8" xfId="1" applyNumberFormat="1" applyFont="1" applyBorder="1" applyAlignment="1" applyProtection="1">
      <alignment horizontal="right" vertical="center"/>
    </xf>
    <xf numFmtId="0" fontId="19" fillId="0" borderId="13" xfId="1" applyFont="1" applyBorder="1" applyAlignment="1" applyProtection="1">
      <alignment horizontal="left" vertical="top"/>
    </xf>
    <xf numFmtId="0" fontId="14" fillId="0" borderId="50" xfId="1" applyFont="1" applyBorder="1" applyAlignment="1" applyProtection="1">
      <alignment horizontal="left" vertical="center"/>
    </xf>
    <xf numFmtId="0" fontId="14" fillId="0" borderId="51" xfId="1" applyFont="1" applyBorder="1" applyAlignment="1" applyProtection="1">
      <alignment horizontal="left" vertical="center"/>
    </xf>
    <xf numFmtId="0" fontId="14" fillId="0" borderId="52" xfId="1" applyFont="1" applyBorder="1" applyAlignment="1" applyProtection="1">
      <alignment horizontal="left" vertical="center"/>
    </xf>
    <xf numFmtId="0" fontId="14" fillId="0" borderId="53" xfId="1" applyFont="1" applyBorder="1" applyAlignment="1" applyProtection="1">
      <alignment horizontal="left" vertical="center"/>
    </xf>
    <xf numFmtId="0" fontId="14" fillId="0" borderId="54" xfId="1" applyFont="1" applyBorder="1" applyAlignment="1" applyProtection="1">
      <alignment horizontal="left"/>
    </xf>
    <xf numFmtId="0" fontId="14" fillId="0" borderId="55" xfId="1" applyFont="1" applyBorder="1" applyAlignment="1" applyProtection="1">
      <alignment horizontal="left" vertical="center"/>
    </xf>
    <xf numFmtId="0" fontId="14" fillId="0" borderId="45" xfId="1" applyFont="1" applyBorder="1" applyAlignment="1" applyProtection="1">
      <alignment horizontal="left"/>
    </xf>
    <xf numFmtId="2" fontId="14" fillId="0" borderId="44" xfId="1" applyNumberFormat="1" applyFont="1" applyBorder="1" applyAlignment="1" applyProtection="1">
      <alignment horizontal="right" vertical="center"/>
    </xf>
    <xf numFmtId="39" fontId="14" fillId="0" borderId="0" xfId="1" applyNumberFormat="1" applyFont="1" applyAlignment="1" applyProtection="1">
      <alignment horizontal="left" vertical="center"/>
    </xf>
    <xf numFmtId="39" fontId="14" fillId="0" borderId="45" xfId="1" applyNumberFormat="1" applyFont="1" applyBorder="1" applyAlignment="1" applyProtection="1">
      <alignment horizontal="right" vertical="center"/>
    </xf>
    <xf numFmtId="0" fontId="19" fillId="0" borderId="57" xfId="1" applyFont="1" applyBorder="1" applyAlignment="1" applyProtection="1">
      <alignment horizontal="left" vertical="top"/>
    </xf>
    <xf numFmtId="0" fontId="14" fillId="0" borderId="58" xfId="1" applyFont="1" applyBorder="1" applyAlignment="1" applyProtection="1">
      <alignment horizontal="left" vertical="center"/>
    </xf>
    <xf numFmtId="0" fontId="14" fillId="0" borderId="38" xfId="1" applyFont="1" applyBorder="1" applyAlignment="1" applyProtection="1">
      <alignment horizontal="left" vertical="center"/>
    </xf>
    <xf numFmtId="39" fontId="14" fillId="0" borderId="58" xfId="1" applyNumberFormat="1" applyFont="1" applyBorder="1" applyAlignment="1" applyProtection="1">
      <alignment horizontal="left" vertical="center"/>
    </xf>
    <xf numFmtId="0" fontId="14" fillId="0" borderId="58" xfId="1" applyFont="1" applyBorder="1" applyAlignment="1" applyProtection="1">
      <alignment horizontal="left" vertical="center"/>
    </xf>
    <xf numFmtId="0" fontId="19" fillId="0" borderId="35" xfId="1" applyFont="1" applyBorder="1" applyAlignment="1" applyProtection="1">
      <alignment horizontal="left" vertical="center"/>
    </xf>
    <xf numFmtId="39" fontId="19" fillId="0" borderId="5" xfId="1" applyNumberFormat="1" applyFont="1" applyBorder="1" applyAlignment="1" applyProtection="1">
      <alignment horizontal="right" vertical="center"/>
    </xf>
    <xf numFmtId="0" fontId="14" fillId="0" borderId="17" xfId="1" applyFont="1" applyBorder="1" applyAlignment="1" applyProtection="1">
      <alignment horizontal="left"/>
    </xf>
    <xf numFmtId="0" fontId="14" fillId="0" borderId="59" xfId="1" applyFont="1" applyBorder="1" applyAlignment="1" applyProtection="1">
      <alignment horizontal="left" vertical="center"/>
    </xf>
    <xf numFmtId="0" fontId="14" fillId="0" borderId="49" xfId="1" applyFont="1" applyBorder="1" applyAlignment="1" applyProtection="1">
      <alignment horizontal="left"/>
    </xf>
    <xf numFmtId="37" fontId="14" fillId="0" borderId="0" xfId="1" applyNumberFormat="1" applyFont="1" applyBorder="1" applyAlignment="1">
      <alignment horizontal="center" vertical="center"/>
      <protection locked="0"/>
    </xf>
    <xf numFmtId="0" fontId="14" fillId="0" borderId="0" xfId="1" applyFont="1" applyBorder="1" applyAlignment="1">
      <alignment horizontal="center" vertical="center" wrapText="1"/>
      <protection locked="0"/>
    </xf>
    <xf numFmtId="0" fontId="14" fillId="0" borderId="0" xfId="1" applyFont="1" applyBorder="1" applyAlignment="1">
      <alignment horizontal="left" vertical="center" wrapText="1"/>
      <protection locked="0"/>
    </xf>
    <xf numFmtId="164" fontId="14" fillId="0" borderId="0" xfId="1" applyNumberFormat="1" applyFont="1" applyBorder="1" applyAlignment="1">
      <alignment horizontal="right" vertical="center"/>
      <protection locked="0"/>
    </xf>
    <xf numFmtId="39" fontId="14" fillId="0" borderId="0" xfId="1" applyNumberFormat="1" applyFont="1" applyBorder="1" applyAlignment="1">
      <alignment horizontal="right" vertical="center"/>
      <protection locked="0"/>
    </xf>
    <xf numFmtId="171" fontId="14" fillId="0" borderId="0" xfId="1" applyNumberFormat="1" applyFont="1" applyAlignment="1">
      <alignment horizontal="left" vertical="top"/>
      <protection locked="0"/>
    </xf>
    <xf numFmtId="37" fontId="12" fillId="0" borderId="0" xfId="1" applyNumberFormat="1" applyFont="1" applyBorder="1" applyAlignment="1">
      <alignment horizontal="center" vertical="center"/>
      <protection locked="0"/>
    </xf>
    <xf numFmtId="0" fontId="12" fillId="0" borderId="0" xfId="1" applyFont="1" applyBorder="1" applyAlignment="1">
      <alignment horizontal="center" vertical="center" wrapText="1"/>
      <protection locked="0"/>
    </xf>
    <xf numFmtId="0" fontId="12" fillId="0" borderId="0" xfId="1" applyFont="1" applyBorder="1" applyAlignment="1">
      <alignment horizontal="left" vertical="center" wrapText="1"/>
      <protection locked="0"/>
    </xf>
    <xf numFmtId="171" fontId="12" fillId="0" borderId="0" xfId="1" applyNumberFormat="1" applyFont="1" applyBorder="1" applyAlignment="1">
      <alignment horizontal="right" vertical="center" wrapText="1"/>
      <protection locked="0"/>
    </xf>
    <xf numFmtId="39" fontId="12" fillId="0" borderId="0" xfId="1" applyNumberFormat="1" applyFont="1" applyBorder="1" applyAlignment="1">
      <alignment horizontal="right" vertical="center"/>
      <protection locked="0"/>
    </xf>
    <xf numFmtId="49" fontId="12" fillId="0" borderId="0" xfId="1" applyNumberFormat="1" applyFont="1" applyBorder="1" applyAlignment="1">
      <alignment horizontal="left" vertical="center" wrapText="1"/>
      <protection locked="0"/>
    </xf>
    <xf numFmtId="171" fontId="12" fillId="0" borderId="0" xfId="1" applyNumberFormat="1" applyFont="1" applyAlignment="1">
      <alignment horizontal="right" vertical="center" wrapText="1"/>
      <protection locked="0"/>
    </xf>
    <xf numFmtId="171" fontId="12" fillId="0" borderId="0" xfId="1" applyNumberFormat="1" applyFont="1" applyAlignment="1">
      <alignment horizontal="left" vertical="top"/>
      <protection locked="0"/>
    </xf>
    <xf numFmtId="171" fontId="13" fillId="0" borderId="0" xfId="1" applyNumberFormat="1" applyFont="1" applyAlignment="1">
      <alignment horizontal="left" vertical="top"/>
      <protection locked="0"/>
    </xf>
    <xf numFmtId="37" fontId="14" fillId="0" borderId="1" xfId="1" applyNumberFormat="1" applyFont="1" applyBorder="1" applyAlignment="1">
      <alignment horizontal="center" vertical="center"/>
      <protection locked="0"/>
    </xf>
    <xf numFmtId="0" fontId="14" fillId="0" borderId="1" xfId="1" applyFont="1" applyBorder="1" applyAlignment="1">
      <alignment horizontal="center" vertical="center" wrapText="1"/>
      <protection locked="0"/>
    </xf>
    <xf numFmtId="39" fontId="14" fillId="0" borderId="1" xfId="1" applyNumberFormat="1" applyFont="1" applyBorder="1" applyAlignment="1">
      <alignment horizontal="right" vertical="center"/>
      <protection locked="0"/>
    </xf>
    <xf numFmtId="164" fontId="12" fillId="0" borderId="0" xfId="1" applyNumberFormat="1" applyFont="1" applyBorder="1" applyAlignment="1">
      <alignment horizontal="right" vertical="center"/>
      <protection locked="0"/>
    </xf>
    <xf numFmtId="164" fontId="14" fillId="0" borderId="0" xfId="1" applyNumberFormat="1" applyFont="1" applyFill="1" applyBorder="1" applyAlignment="1">
      <alignment horizontal="right" vertical="center"/>
      <protection locked="0"/>
    </xf>
    <xf numFmtId="164" fontId="14" fillId="0" borderId="61" xfId="1" applyNumberFormat="1" applyFont="1" applyFill="1" applyBorder="1" applyAlignment="1">
      <alignment horizontal="right" vertical="center"/>
      <protection locked="0"/>
    </xf>
    <xf numFmtId="164" fontId="12" fillId="0" borderId="0" xfId="1" applyNumberFormat="1" applyFont="1" applyFill="1" applyBorder="1" applyAlignment="1">
      <alignment horizontal="right" vertical="center"/>
      <protection locked="0"/>
    </xf>
    <xf numFmtId="0" fontId="12" fillId="0" borderId="1" xfId="1" applyFont="1" applyBorder="1" applyAlignment="1">
      <alignment horizontal="center" vertical="center" wrapText="1"/>
      <protection locked="0"/>
    </xf>
    <xf numFmtId="0" fontId="12" fillId="0" borderId="1" xfId="1" applyFont="1" applyBorder="1" applyAlignment="1">
      <alignment horizontal="left" vertical="center" wrapText="1"/>
      <protection locked="0"/>
    </xf>
    <xf numFmtId="164" fontId="12" fillId="0" borderId="1" xfId="1" applyNumberFormat="1" applyFont="1" applyBorder="1" applyAlignment="1">
      <alignment horizontal="right" vertical="center"/>
      <protection locked="0"/>
    </xf>
    <xf numFmtId="171" fontId="12" fillId="0" borderId="2" xfId="1" applyNumberFormat="1" applyFont="1" applyBorder="1" applyAlignment="1">
      <alignment horizontal="right" vertical="center" wrapText="1"/>
      <protection locked="0"/>
    </xf>
    <xf numFmtId="0" fontId="26" fillId="2" borderId="0" xfId="0" applyFont="1" applyFill="1" applyBorder="1" applyAlignment="1">
      <alignment vertical="top" wrapText="1" indent="1"/>
    </xf>
    <xf numFmtId="0" fontId="27" fillId="2" borderId="0" xfId="0" applyFont="1" applyFill="1" applyBorder="1" applyAlignment="1">
      <alignment vertical="top" wrapText="1" indent="1"/>
    </xf>
    <xf numFmtId="0" fontId="27" fillId="2" borderId="0" xfId="0" applyFont="1" applyFill="1" applyBorder="1" applyAlignment="1">
      <alignment horizontal="right" vertical="top" wrapText="1" indent="1"/>
    </xf>
    <xf numFmtId="0" fontId="28" fillId="2" borderId="0" xfId="0" applyFont="1" applyFill="1" applyBorder="1" applyAlignment="1">
      <alignment horizontal="right" vertical="top" indent="1"/>
    </xf>
    <xf numFmtId="0" fontId="20" fillId="0" borderId="61" xfId="1" applyFont="1" applyBorder="1" applyAlignment="1">
      <alignment horizontal="left" vertical="top" wrapText="1"/>
      <protection locked="0"/>
    </xf>
    <xf numFmtId="3" fontId="20" fillId="0" borderId="61" xfId="1" applyNumberFormat="1" applyFont="1" applyBorder="1" applyAlignment="1">
      <alignment horizontal="center" vertical="center" wrapText="1"/>
      <protection locked="0"/>
    </xf>
    <xf numFmtId="37" fontId="20" fillId="0" borderId="0" xfId="1" applyNumberFormat="1" applyFont="1" applyBorder="1" applyAlignment="1">
      <alignment horizontal="center" vertical="center"/>
      <protection locked="0"/>
    </xf>
    <xf numFmtId="3" fontId="20" fillId="0" borderId="0" xfId="1" applyNumberFormat="1" applyFont="1" applyBorder="1" applyAlignment="1">
      <alignment horizontal="center" vertical="center" wrapText="1"/>
      <protection locked="0"/>
    </xf>
    <xf numFmtId="0" fontId="20" fillId="0" borderId="0" xfId="1" applyFont="1" applyBorder="1" applyAlignment="1">
      <alignment horizontal="left" vertical="center" wrapText="1"/>
      <protection locked="0"/>
    </xf>
    <xf numFmtId="0" fontId="20" fillId="0" borderId="0" xfId="1" applyFont="1" applyBorder="1" applyAlignment="1">
      <alignment horizontal="center" vertical="center" wrapText="1"/>
      <protection locked="0"/>
    </xf>
    <xf numFmtId="164" fontId="20" fillId="0" borderId="0" xfId="1" applyNumberFormat="1" applyFont="1" applyBorder="1" applyAlignment="1">
      <alignment horizontal="right" vertical="center"/>
      <protection locked="0"/>
    </xf>
    <xf numFmtId="39" fontId="20" fillId="0" borderId="0" xfId="1" applyNumberFormat="1" applyFont="1" applyBorder="1" applyAlignment="1">
      <alignment horizontal="right" vertical="center"/>
      <protection locked="0"/>
    </xf>
    <xf numFmtId="0" fontId="14" fillId="0" borderId="0" xfId="2" applyFont="1" applyBorder="1" applyAlignment="1" applyProtection="1">
      <alignment horizontal="left" vertical="center" wrapText="1"/>
      <protection locked="0"/>
    </xf>
    <xf numFmtId="0" fontId="14" fillId="0" borderId="0" xfId="2" applyFont="1" applyBorder="1" applyAlignment="1" applyProtection="1">
      <alignment horizontal="center" vertical="center"/>
      <protection locked="0"/>
    </xf>
    <xf numFmtId="169" fontId="14" fillId="0" borderId="0" xfId="2" applyNumberFormat="1" applyFont="1" applyBorder="1" applyAlignment="1" applyProtection="1">
      <alignment horizontal="right" vertical="center"/>
      <protection locked="0"/>
    </xf>
    <xf numFmtId="0" fontId="14" fillId="0" borderId="0" xfId="2" applyFont="1" applyBorder="1" applyAlignment="1" applyProtection="1">
      <alignment horizontal="right" vertical="center"/>
      <protection locked="0"/>
    </xf>
    <xf numFmtId="0" fontId="12" fillId="0" borderId="2" xfId="2" applyFont="1" applyBorder="1" applyAlignment="1" applyProtection="1">
      <alignment horizontal="right" vertical="center" wrapText="1"/>
      <protection locked="0"/>
    </xf>
    <xf numFmtId="0" fontId="12" fillId="0" borderId="0" xfId="2" applyFont="1" applyBorder="1" applyAlignment="1" applyProtection="1">
      <alignment horizontal="left" vertical="center" wrapText="1"/>
      <protection locked="0"/>
    </xf>
    <xf numFmtId="0" fontId="12" fillId="0" borderId="0" xfId="2" applyFont="1" applyBorder="1" applyAlignment="1" applyProtection="1">
      <alignment horizontal="center" vertical="center"/>
      <protection locked="0"/>
    </xf>
    <xf numFmtId="0" fontId="12" fillId="0" borderId="0" xfId="2" applyFont="1" applyBorder="1" applyAlignment="1" applyProtection="1">
      <alignment horizontal="right" vertical="center" wrapText="1"/>
      <protection locked="0"/>
    </xf>
    <xf numFmtId="0" fontId="12" fillId="0" borderId="0" xfId="2" applyFont="1" applyBorder="1" applyAlignment="1" applyProtection="1">
      <alignment horizontal="right" vertical="center"/>
      <protection locked="0"/>
    </xf>
    <xf numFmtId="0" fontId="14" fillId="0" borderId="0" xfId="1" applyFont="1" applyBorder="1" applyAlignment="1" applyProtection="1">
      <alignment horizontal="center" vertical="center" wrapText="1"/>
    </xf>
    <xf numFmtId="0" fontId="14" fillId="0" borderId="0" xfId="1" applyFont="1" applyBorder="1" applyAlignment="1" applyProtection="1">
      <alignment horizontal="left" vertical="center" wrapText="1"/>
    </xf>
    <xf numFmtId="165" fontId="14" fillId="0" borderId="0" xfId="1" applyNumberFormat="1" applyFont="1" applyBorder="1" applyAlignment="1" applyProtection="1">
      <alignment horizontal="right" vertical="center"/>
    </xf>
    <xf numFmtId="2" fontId="14" fillId="0" borderId="0" xfId="1" applyNumberFormat="1" applyFont="1" applyBorder="1" applyAlignment="1" applyProtection="1">
      <alignment horizontal="right" vertical="center"/>
    </xf>
    <xf numFmtId="169" fontId="12" fillId="0" borderId="0" xfId="2" applyNumberFormat="1" applyFont="1" applyBorder="1" applyAlignment="1" applyProtection="1">
      <alignment horizontal="right" vertical="center"/>
      <protection locked="0"/>
    </xf>
    <xf numFmtId="0" fontId="12" fillId="0" borderId="0" xfId="1" applyFont="1" applyBorder="1" applyAlignment="1" applyProtection="1">
      <alignment horizontal="center" vertical="center" wrapText="1"/>
    </xf>
    <xf numFmtId="0" fontId="12" fillId="0" borderId="0" xfId="1" applyFont="1" applyBorder="1" applyAlignment="1" applyProtection="1">
      <alignment horizontal="left" vertical="center" wrapText="1"/>
    </xf>
    <xf numFmtId="2" fontId="12" fillId="0" borderId="0" xfId="1" applyNumberFormat="1" applyFont="1" applyBorder="1" applyAlignment="1" applyProtection="1">
      <alignment horizontal="right" vertical="center"/>
    </xf>
    <xf numFmtId="171" fontId="12" fillId="0" borderId="0" xfId="1" applyNumberFormat="1" applyFont="1" applyBorder="1" applyAlignment="1" applyProtection="1">
      <alignment horizontal="right" vertical="center" wrapText="1"/>
    </xf>
    <xf numFmtId="0" fontId="19" fillId="0" borderId="0" xfId="2" applyFont="1" applyBorder="1" applyAlignment="1" applyProtection="1">
      <alignment horizontal="left" vertical="center" wrapText="1"/>
      <protection locked="0"/>
    </xf>
    <xf numFmtId="0" fontId="19" fillId="0" borderId="0" xfId="1" applyFont="1" applyBorder="1" applyAlignment="1">
      <alignment horizontal="center" vertical="center" wrapText="1"/>
      <protection locked="0"/>
    </xf>
    <xf numFmtId="39" fontId="19" fillId="0" borderId="0" xfId="1" applyNumberFormat="1" applyFont="1" applyBorder="1" applyAlignment="1">
      <alignment horizontal="right" vertical="center"/>
      <protection locked="0"/>
    </xf>
    <xf numFmtId="0" fontId="20" fillId="0" borderId="0" xfId="1" applyFont="1" applyBorder="1" applyAlignment="1">
      <alignment horizontal="left" vertical="top" wrapText="1"/>
      <protection locked="0"/>
    </xf>
    <xf numFmtId="165" fontId="12" fillId="0" borderId="0" xfId="1" applyNumberFormat="1" applyFont="1" applyBorder="1" applyAlignment="1" applyProtection="1">
      <alignment horizontal="right" vertical="center"/>
    </xf>
    <xf numFmtId="37" fontId="17" fillId="0" borderId="0" xfId="1" applyNumberFormat="1" applyFont="1" applyBorder="1" applyAlignment="1">
      <alignment horizontal="center" vertical="center"/>
      <protection locked="0"/>
    </xf>
    <xf numFmtId="3" fontId="17" fillId="0" borderId="0" xfId="1" applyNumberFormat="1" applyFont="1" applyBorder="1" applyAlignment="1">
      <alignment horizontal="center" vertical="center" wrapText="1"/>
      <protection locked="0"/>
    </xf>
    <xf numFmtId="0" fontId="17" fillId="0" borderId="0" xfId="1" applyFont="1" applyBorder="1" applyAlignment="1">
      <alignment horizontal="left" vertical="center" wrapText="1"/>
      <protection locked="0"/>
    </xf>
    <xf numFmtId="0" fontId="17" fillId="0" borderId="0" xfId="1" applyFont="1" applyBorder="1" applyAlignment="1">
      <alignment horizontal="center" vertical="center" wrapText="1"/>
      <protection locked="0"/>
    </xf>
    <xf numFmtId="164" fontId="17" fillId="0" borderId="0" xfId="1" applyNumberFormat="1" applyFont="1" applyBorder="1" applyAlignment="1">
      <alignment horizontal="right" vertical="center"/>
      <protection locked="0"/>
    </xf>
    <xf numFmtId="39" fontId="17" fillId="0" borderId="0" xfId="1" applyNumberFormat="1" applyFont="1" applyBorder="1" applyAlignment="1">
      <alignment horizontal="right" vertical="center"/>
      <protection locked="0"/>
    </xf>
    <xf numFmtId="39" fontId="22" fillId="0" borderId="0" xfId="1" applyNumberFormat="1" applyFont="1" applyAlignment="1">
      <alignment horizontal="left" wrapText="1"/>
      <protection locked="0"/>
    </xf>
    <xf numFmtId="37" fontId="20" fillId="0" borderId="3" xfId="1" applyNumberFormat="1" applyFont="1" applyBorder="1" applyAlignment="1">
      <alignment horizontal="center" vertical="center"/>
      <protection locked="0"/>
    </xf>
    <xf numFmtId="3" fontId="20" fillId="0" borderId="3" xfId="1" applyNumberFormat="1" applyFont="1" applyBorder="1" applyAlignment="1">
      <alignment horizontal="center" vertical="center" wrapText="1"/>
      <protection locked="0"/>
    </xf>
    <xf numFmtId="0" fontId="20" fillId="0" borderId="3" xfId="1" applyFont="1" applyBorder="1" applyAlignment="1">
      <alignment horizontal="left" vertical="center" wrapText="1"/>
      <protection locked="0"/>
    </xf>
    <xf numFmtId="0" fontId="20" fillId="0" borderId="3" xfId="1" applyFont="1" applyBorder="1" applyAlignment="1">
      <alignment horizontal="center" vertical="center" wrapText="1"/>
      <protection locked="0"/>
    </xf>
    <xf numFmtId="164" fontId="20" fillId="0" borderId="3" xfId="1" applyNumberFormat="1" applyFont="1" applyBorder="1" applyAlignment="1">
      <alignment horizontal="right" vertical="center"/>
      <protection locked="0"/>
    </xf>
    <xf numFmtId="39" fontId="20" fillId="0" borderId="3" xfId="1" applyNumberFormat="1" applyFont="1" applyBorder="1" applyAlignment="1">
      <alignment horizontal="right" vertical="center"/>
      <protection locked="0"/>
    </xf>
    <xf numFmtId="0" fontId="14" fillId="0" borderId="0" xfId="1" applyFont="1" applyAlignment="1">
      <alignment horizontal="center" vertical="center"/>
      <protection locked="0"/>
    </xf>
    <xf numFmtId="183" fontId="14" fillId="0" borderId="0" xfId="1" applyNumberFormat="1" applyFont="1" applyAlignment="1">
      <alignment horizontal="right"/>
      <protection locked="0"/>
    </xf>
    <xf numFmtId="0" fontId="7" fillId="0" borderId="0" xfId="1" applyFont="1" applyFill="1" applyAlignment="1" applyProtection="1">
      <alignment horizontal="left"/>
    </xf>
    <xf numFmtId="0" fontId="22" fillId="0" borderId="0" xfId="1" applyFont="1" applyFill="1" applyAlignment="1" applyProtection="1">
      <alignment horizontal="left"/>
    </xf>
    <xf numFmtId="0" fontId="6" fillId="0" borderId="0" xfId="1" applyFont="1" applyFill="1" applyAlignment="1" applyProtection="1">
      <alignment horizontal="left"/>
    </xf>
    <xf numFmtId="0" fontId="19" fillId="0" borderId="0" xfId="1" applyFont="1" applyFill="1" applyAlignment="1" applyProtection="1">
      <alignment horizontal="left"/>
    </xf>
    <xf numFmtId="0" fontId="14" fillId="0" borderId="0" xfId="1" applyFont="1" applyFill="1" applyAlignment="1" applyProtection="1">
      <alignment horizontal="left"/>
    </xf>
    <xf numFmtId="0" fontId="14" fillId="0" borderId="0" xfId="1" applyFont="1" applyFill="1" applyAlignment="1" applyProtection="1">
      <alignment horizontal="left"/>
    </xf>
    <xf numFmtId="0" fontId="0" fillId="0" borderId="0" xfId="0" applyFill="1" applyAlignment="1">
      <alignment horizontal="left"/>
    </xf>
    <xf numFmtId="0" fontId="14" fillId="0" borderId="12" xfId="1" applyFont="1" applyFill="1" applyBorder="1" applyAlignment="1" applyProtection="1">
      <alignment horizontal="center" vertical="center" wrapText="1"/>
    </xf>
    <xf numFmtId="0" fontId="23" fillId="0" borderId="12" xfId="1" applyFont="1" applyFill="1" applyBorder="1" applyAlignment="1" applyProtection="1">
      <alignment horizontal="center" vertical="center" wrapText="1"/>
    </xf>
  </cellXfs>
  <cellStyles count="4">
    <cellStyle name="Normální" xfId="0" builtinId="0"/>
    <cellStyle name="normální 2" xfId="1" xr:uid="{00000000-0005-0000-0000-000001000000}"/>
    <cellStyle name="normální 3" xfId="2" xr:uid="{00000000-0005-0000-0000-000002000000}"/>
    <cellStyle name="Normální 4" xfId="3" xr:uid="{2B07B393-247F-4E5A-A2A7-F45B821EE989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38099</xdr:colOff>
      <xdr:row>111</xdr:row>
      <xdr:rowOff>462700</xdr:rowOff>
    </xdr:from>
    <xdr:to>
      <xdr:col>2</xdr:col>
      <xdr:colOff>2157212</xdr:colOff>
      <xdr:row>111</xdr:row>
      <xdr:rowOff>1657350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9C79B0C3-841A-0B3D-4D42-5EC9BE68D5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0499" y="26688200"/>
          <a:ext cx="2119113" cy="1194650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</xdr:colOff>
      <xdr:row>313</xdr:row>
      <xdr:rowOff>406400</xdr:rowOff>
    </xdr:from>
    <xdr:to>
      <xdr:col>2</xdr:col>
      <xdr:colOff>1374775</xdr:colOff>
      <xdr:row>313</xdr:row>
      <xdr:rowOff>1460500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A7B47A56-E920-7944-FBE4-167212B1EC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9550" y="72364600"/>
          <a:ext cx="1317625" cy="1054100"/>
        </a:xfrm>
        <a:prstGeom prst="rect">
          <a:avLst/>
        </a:prstGeom>
      </xdr:spPr>
    </xdr:pic>
    <xdr:clientData/>
  </xdr:twoCellAnchor>
  <xdr:twoCellAnchor editAs="oneCell">
    <xdr:from>
      <xdr:col>2</xdr:col>
      <xdr:colOff>114300</xdr:colOff>
      <xdr:row>317</xdr:row>
      <xdr:rowOff>406400</xdr:rowOff>
    </xdr:from>
    <xdr:to>
      <xdr:col>2</xdr:col>
      <xdr:colOff>1455738</xdr:colOff>
      <xdr:row>317</xdr:row>
      <xdr:rowOff>1479550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CC3CFA76-F3C6-7E0F-B224-58D14129DB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6700" y="74663300"/>
          <a:ext cx="1341438" cy="1073150"/>
        </a:xfrm>
        <a:prstGeom prst="rect">
          <a:avLst/>
        </a:prstGeom>
      </xdr:spPr>
    </xdr:pic>
    <xdr:clientData/>
  </xdr:twoCellAnchor>
  <xdr:oneCellAnchor>
    <xdr:from>
      <xdr:col>2</xdr:col>
      <xdr:colOff>63500</xdr:colOff>
      <xdr:row>274</xdr:row>
      <xdr:rowOff>196850</xdr:rowOff>
    </xdr:from>
    <xdr:ext cx="1562100" cy="1171575"/>
    <xdr:pic>
      <xdr:nvPicPr>
        <xdr:cNvPr id="13" name="Obrázek 12">
          <a:extLst>
            <a:ext uri="{FF2B5EF4-FFF2-40B4-BE49-F238E27FC236}">
              <a16:creationId xmlns:a16="http://schemas.microsoft.com/office/drawing/2014/main" id="{8666BA1F-E755-443E-A96D-9847A5CEFB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5900" y="63506350"/>
          <a:ext cx="1562100" cy="1171575"/>
        </a:xfrm>
        <a:prstGeom prst="rect">
          <a:avLst/>
        </a:prstGeom>
      </xdr:spPr>
    </xdr:pic>
    <xdr:clientData/>
  </xdr:oneCellAnchor>
  <xdr:twoCellAnchor editAs="oneCell">
    <xdr:from>
      <xdr:col>2</xdr:col>
      <xdr:colOff>0</xdr:colOff>
      <xdr:row>329</xdr:row>
      <xdr:rowOff>127000</xdr:rowOff>
    </xdr:from>
    <xdr:to>
      <xdr:col>2</xdr:col>
      <xdr:colOff>825500</xdr:colOff>
      <xdr:row>330</xdr:row>
      <xdr:rowOff>44450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197D4B32-AEAF-F1F0-EC91-7B5D1BD352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2400" y="75742800"/>
          <a:ext cx="825500" cy="825500"/>
        </a:xfrm>
        <a:prstGeom prst="rect">
          <a:avLst/>
        </a:prstGeom>
      </xdr:spPr>
    </xdr:pic>
    <xdr:clientData/>
  </xdr:twoCellAnchor>
  <xdr:twoCellAnchor editAs="oneCell">
    <xdr:from>
      <xdr:col>2</xdr:col>
      <xdr:colOff>107950</xdr:colOff>
      <xdr:row>325</xdr:row>
      <xdr:rowOff>228600</xdr:rowOff>
    </xdr:from>
    <xdr:to>
      <xdr:col>2</xdr:col>
      <xdr:colOff>889000</xdr:colOff>
      <xdr:row>325</xdr:row>
      <xdr:rowOff>1009650</xdr:rowOff>
    </xdr:to>
    <xdr:pic>
      <xdr:nvPicPr>
        <xdr:cNvPr id="18" name="Obrázek 17">
          <a:extLst>
            <a:ext uri="{FF2B5EF4-FFF2-40B4-BE49-F238E27FC236}">
              <a16:creationId xmlns:a16="http://schemas.microsoft.com/office/drawing/2014/main" id="{E28ECAAA-3587-CF53-02CE-4091DC3CB6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0350" y="77082650"/>
          <a:ext cx="781050" cy="781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7"/>
  <sheetViews>
    <sheetView showGridLines="0" tabSelected="1" workbookViewId="0">
      <pane ySplit="3" topLeftCell="A4" activePane="bottomLeft" state="frozenSplit"/>
      <selection pane="bottomLeft" activeCell="J21" sqref="J21"/>
    </sheetView>
  </sheetViews>
  <sheetFormatPr defaultColWidth="11.28515625" defaultRowHeight="11.45" customHeight="1"/>
  <cols>
    <col min="1" max="1" width="3.28515625" style="1" customWidth="1"/>
    <col min="2" max="2" width="2.7109375" style="1" customWidth="1"/>
    <col min="3" max="3" width="4.140625" style="1" customWidth="1"/>
    <col min="4" max="4" width="8.42578125" style="1" customWidth="1"/>
    <col min="5" max="5" width="32.85546875" style="1" customWidth="1"/>
    <col min="6" max="6" width="0.5703125" style="1" customWidth="1"/>
    <col min="7" max="7" width="3.42578125" style="1" customWidth="1"/>
    <col min="8" max="8" width="3.28515625" style="1" customWidth="1"/>
    <col min="9" max="9" width="13.28515625" style="1" customWidth="1"/>
    <col min="10" max="10" width="22.5703125" style="1" customWidth="1"/>
    <col min="11" max="11" width="0.7109375" style="1" customWidth="1"/>
    <col min="12" max="12" width="3.28515625" style="1" customWidth="1"/>
    <col min="13" max="13" width="5" style="1" customWidth="1"/>
    <col min="14" max="14" width="6.140625" style="1" customWidth="1"/>
    <col min="15" max="15" width="4.42578125" style="1" customWidth="1"/>
    <col min="16" max="16" width="16.42578125" style="1" customWidth="1"/>
    <col min="17" max="17" width="8" style="1" customWidth="1"/>
    <col min="18" max="18" width="32.85546875" style="1" customWidth="1"/>
    <col min="19" max="19" width="0.5703125" style="1" customWidth="1"/>
    <col min="20" max="16384" width="11.28515625" style="1"/>
  </cols>
  <sheetData>
    <row r="1" spans="1:19" ht="13.15" customHeight="1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</row>
    <row r="2" spans="1:19" ht="21" customHeight="1">
      <c r="A2" s="6"/>
      <c r="B2" s="7"/>
      <c r="C2" s="7"/>
      <c r="D2" s="7"/>
      <c r="E2" s="7"/>
      <c r="F2" s="7"/>
      <c r="G2" s="8" t="s">
        <v>25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9"/>
    </row>
    <row r="3" spans="1:19" ht="13.15" customHeight="1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7"/>
      <c r="P3" s="11"/>
      <c r="Q3" s="11"/>
      <c r="R3" s="11"/>
      <c r="S3" s="12"/>
    </row>
    <row r="4" spans="1:19" ht="9" customHeight="1" thickBot="1">
      <c r="A4" s="117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3"/>
    </row>
    <row r="5" spans="1:19" ht="18" customHeight="1">
      <c r="A5" s="119"/>
      <c r="B5" s="120" t="s">
        <v>26</v>
      </c>
      <c r="C5" s="120"/>
      <c r="D5" s="120"/>
      <c r="E5" s="121" t="s">
        <v>372</v>
      </c>
      <c r="F5" s="122"/>
      <c r="G5" s="122"/>
      <c r="H5" s="122"/>
      <c r="I5" s="122"/>
      <c r="J5" s="123"/>
      <c r="K5" s="120"/>
      <c r="L5" s="120"/>
      <c r="M5" s="120"/>
      <c r="N5" s="120"/>
      <c r="O5" s="124" t="s">
        <v>27</v>
      </c>
      <c r="P5" s="124"/>
      <c r="Q5" s="125"/>
      <c r="R5" s="123"/>
      <c r="S5" s="14"/>
    </row>
    <row r="6" spans="1:19" ht="18" customHeight="1">
      <c r="A6" s="119"/>
      <c r="B6" s="120" t="s">
        <v>28</v>
      </c>
      <c r="C6" s="120"/>
      <c r="D6" s="120"/>
      <c r="E6" s="126"/>
      <c r="F6" s="120"/>
      <c r="G6" s="120"/>
      <c r="H6" s="120"/>
      <c r="I6" s="120"/>
      <c r="J6" s="127"/>
      <c r="K6" s="120"/>
      <c r="L6" s="120"/>
      <c r="M6" s="120"/>
      <c r="N6" s="120"/>
      <c r="O6" s="124" t="s">
        <v>29</v>
      </c>
      <c r="P6" s="124"/>
      <c r="Q6" s="128"/>
      <c r="R6" s="127"/>
      <c r="S6" s="14"/>
    </row>
    <row r="7" spans="1:19" ht="18" customHeight="1" thickBot="1">
      <c r="A7" s="119"/>
      <c r="B7" s="120" t="s">
        <v>30</v>
      </c>
      <c r="C7" s="120"/>
      <c r="D7" s="120"/>
      <c r="E7" s="129"/>
      <c r="F7" s="130"/>
      <c r="G7" s="130"/>
      <c r="H7" s="130"/>
      <c r="I7" s="130"/>
      <c r="J7" s="131"/>
      <c r="K7" s="120"/>
      <c r="L7" s="120"/>
      <c r="M7" s="120"/>
      <c r="N7" s="120"/>
      <c r="O7" s="124" t="s">
        <v>31</v>
      </c>
      <c r="P7" s="124"/>
      <c r="Q7" s="129"/>
      <c r="R7" s="131"/>
      <c r="S7" s="14"/>
    </row>
    <row r="8" spans="1:19" ht="18" customHeight="1" thickBot="1">
      <c r="A8" s="119"/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4" t="s">
        <v>32</v>
      </c>
      <c r="P8" s="124"/>
      <c r="Q8" s="120" t="s">
        <v>33</v>
      </c>
      <c r="R8" s="120"/>
      <c r="S8" s="14"/>
    </row>
    <row r="9" spans="1:19" ht="18" customHeight="1" thickBot="1">
      <c r="A9" s="119"/>
      <c r="B9" s="120" t="s">
        <v>34</v>
      </c>
      <c r="C9" s="120"/>
      <c r="D9" s="120"/>
      <c r="E9" s="125" t="s">
        <v>374</v>
      </c>
      <c r="F9" s="122"/>
      <c r="G9" s="122"/>
      <c r="H9" s="122"/>
      <c r="I9" s="122"/>
      <c r="J9" s="123"/>
      <c r="K9" s="120"/>
      <c r="L9" s="120"/>
      <c r="M9" s="120"/>
      <c r="N9" s="120"/>
      <c r="O9" s="132"/>
      <c r="P9" s="133"/>
      <c r="Q9" s="134"/>
      <c r="R9" s="135"/>
      <c r="S9" s="14"/>
    </row>
    <row r="10" spans="1:19" ht="18" customHeight="1" thickBot="1">
      <c r="A10" s="119"/>
      <c r="B10" s="120" t="s">
        <v>35</v>
      </c>
      <c r="C10" s="120"/>
      <c r="D10" s="120"/>
      <c r="E10" s="128"/>
      <c r="F10" s="120"/>
      <c r="G10" s="120"/>
      <c r="H10" s="120"/>
      <c r="I10" s="120"/>
      <c r="J10" s="127"/>
      <c r="K10" s="120"/>
      <c r="L10" s="120"/>
      <c r="M10" s="120"/>
      <c r="N10" s="120"/>
      <c r="O10" s="132"/>
      <c r="P10" s="133"/>
      <c r="Q10" s="134"/>
      <c r="R10" s="135"/>
      <c r="S10" s="14"/>
    </row>
    <row r="11" spans="1:19" ht="18" customHeight="1" thickBot="1">
      <c r="A11" s="119"/>
      <c r="B11" s="120" t="s">
        <v>36</v>
      </c>
      <c r="C11" s="120"/>
      <c r="D11" s="120"/>
      <c r="E11" s="128" t="s">
        <v>37</v>
      </c>
      <c r="F11" s="120"/>
      <c r="G11" s="120"/>
      <c r="H11" s="120"/>
      <c r="I11" s="120"/>
      <c r="J11" s="127"/>
      <c r="K11" s="120"/>
      <c r="L11" s="120"/>
      <c r="M11" s="120"/>
      <c r="N11" s="120"/>
      <c r="O11" s="132"/>
      <c r="P11" s="133"/>
      <c r="Q11" s="134"/>
      <c r="R11" s="135"/>
      <c r="S11" s="14"/>
    </row>
    <row r="12" spans="1:19" ht="18" customHeight="1" thickBot="1">
      <c r="A12" s="119"/>
      <c r="B12" s="120"/>
      <c r="C12" s="120"/>
      <c r="D12" s="120"/>
      <c r="E12" s="129"/>
      <c r="F12" s="130"/>
      <c r="G12" s="130"/>
      <c r="H12" s="130"/>
      <c r="I12" s="130"/>
      <c r="J12" s="131"/>
      <c r="K12" s="120"/>
      <c r="L12" s="120"/>
      <c r="M12" s="120"/>
      <c r="N12" s="120"/>
      <c r="O12" s="120"/>
      <c r="P12" s="120"/>
      <c r="Q12" s="120"/>
      <c r="R12" s="120"/>
      <c r="S12" s="14"/>
    </row>
    <row r="13" spans="1:19" ht="18" customHeight="1" thickBot="1">
      <c r="A13" s="119"/>
      <c r="B13" s="120"/>
      <c r="C13" s="120"/>
      <c r="D13" s="120"/>
      <c r="E13" s="120" t="s">
        <v>38</v>
      </c>
      <c r="F13" s="120"/>
      <c r="G13" s="120" t="s">
        <v>39</v>
      </c>
      <c r="H13" s="120"/>
      <c r="I13" s="120"/>
      <c r="J13" s="120"/>
      <c r="K13" s="120"/>
      <c r="L13" s="120"/>
      <c r="M13" s="120"/>
      <c r="N13" s="120"/>
      <c r="O13" s="124" t="s">
        <v>40</v>
      </c>
      <c r="P13" s="124"/>
      <c r="Q13" s="120"/>
      <c r="R13" s="120"/>
      <c r="S13" s="14"/>
    </row>
    <row r="14" spans="1:19" ht="18" customHeight="1" thickBot="1">
      <c r="A14" s="119"/>
      <c r="B14" s="120"/>
      <c r="C14" s="120"/>
      <c r="D14" s="120"/>
      <c r="E14" s="136"/>
      <c r="F14" s="120"/>
      <c r="G14" s="134"/>
      <c r="H14" s="137"/>
      <c r="I14" s="135"/>
      <c r="J14" s="120"/>
      <c r="K14" s="120"/>
      <c r="L14" s="120"/>
      <c r="M14" s="120"/>
      <c r="N14" s="120"/>
      <c r="O14" s="138"/>
      <c r="P14" s="139"/>
      <c r="Q14" s="120"/>
      <c r="R14" s="120"/>
      <c r="S14" s="14"/>
    </row>
    <row r="15" spans="1:19" ht="9" customHeight="1">
      <c r="A15" s="140"/>
      <c r="B15" s="141"/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20"/>
      <c r="P15" s="141"/>
      <c r="Q15" s="141"/>
      <c r="R15" s="141"/>
      <c r="S15" s="16"/>
    </row>
    <row r="16" spans="1:19" ht="19.149999999999999" customHeight="1">
      <c r="A16" s="142"/>
      <c r="B16" s="143"/>
      <c r="C16" s="143"/>
      <c r="D16" s="143"/>
      <c r="E16" s="144" t="s">
        <v>41</v>
      </c>
      <c r="F16" s="143"/>
      <c r="G16" s="143"/>
      <c r="H16" s="143"/>
      <c r="I16" s="143"/>
      <c r="J16" s="143"/>
      <c r="K16" s="143"/>
      <c r="L16" s="143"/>
      <c r="M16" s="143"/>
      <c r="N16" s="143"/>
      <c r="O16" s="118"/>
      <c r="P16" s="143"/>
      <c r="Q16" s="143"/>
      <c r="R16" s="143"/>
      <c r="S16" s="17"/>
    </row>
    <row r="17" spans="1:19" ht="21" customHeight="1">
      <c r="A17" s="145" t="s">
        <v>42</v>
      </c>
      <c r="B17" s="146"/>
      <c r="C17" s="146"/>
      <c r="D17" s="147"/>
      <c r="E17" s="148" t="s">
        <v>43</v>
      </c>
      <c r="F17" s="147"/>
      <c r="G17" s="148" t="s">
        <v>44</v>
      </c>
      <c r="H17" s="146"/>
      <c r="I17" s="147"/>
      <c r="J17" s="148" t="s">
        <v>45</v>
      </c>
      <c r="K17" s="146"/>
      <c r="L17" s="148" t="s">
        <v>46</v>
      </c>
      <c r="M17" s="146"/>
      <c r="N17" s="146"/>
      <c r="O17" s="146"/>
      <c r="P17" s="147"/>
      <c r="Q17" s="148" t="s">
        <v>47</v>
      </c>
      <c r="R17" s="146"/>
      <c r="S17" s="18"/>
    </row>
    <row r="18" spans="1:19" ht="19.149999999999999" customHeight="1">
      <c r="A18" s="149"/>
      <c r="B18" s="150"/>
      <c r="C18" s="150"/>
      <c r="D18" s="151">
        <v>0</v>
      </c>
      <c r="E18" s="152">
        <v>0</v>
      </c>
      <c r="F18" s="153"/>
      <c r="G18" s="154"/>
      <c r="H18" s="150"/>
      <c r="I18" s="151">
        <v>0</v>
      </c>
      <c r="J18" s="152">
        <v>0</v>
      </c>
      <c r="K18" s="150"/>
      <c r="L18" s="154"/>
      <c r="M18" s="150"/>
      <c r="N18" s="150"/>
      <c r="O18" s="155"/>
      <c r="P18" s="151">
        <v>0</v>
      </c>
      <c r="Q18" s="154"/>
      <c r="R18" s="156">
        <v>0</v>
      </c>
      <c r="S18" s="19"/>
    </row>
    <row r="19" spans="1:19" ht="19.149999999999999" customHeight="1">
      <c r="A19" s="142"/>
      <c r="B19" s="143"/>
      <c r="C19" s="143"/>
      <c r="D19" s="143"/>
      <c r="E19" s="144" t="s">
        <v>48</v>
      </c>
      <c r="F19" s="143"/>
      <c r="G19" s="143"/>
      <c r="H19" s="143"/>
      <c r="I19" s="143"/>
      <c r="J19" s="157" t="s">
        <v>49</v>
      </c>
      <c r="K19" s="143"/>
      <c r="L19" s="143"/>
      <c r="M19" s="143"/>
      <c r="N19" s="143"/>
      <c r="O19" s="141"/>
      <c r="P19" s="143"/>
      <c r="Q19" s="143"/>
      <c r="R19" s="143"/>
      <c r="S19" s="17"/>
    </row>
    <row r="20" spans="1:19" ht="19.149999999999999" customHeight="1">
      <c r="A20" s="158" t="s">
        <v>50</v>
      </c>
      <c r="B20" s="159"/>
      <c r="C20" s="160" t="s">
        <v>51</v>
      </c>
      <c r="D20" s="161"/>
      <c r="E20" s="161"/>
      <c r="F20" s="162"/>
      <c r="G20" s="158" t="s">
        <v>52</v>
      </c>
      <c r="H20" s="159"/>
      <c r="I20" s="160" t="s">
        <v>53</v>
      </c>
      <c r="J20" s="161"/>
      <c r="K20" s="161"/>
      <c r="L20" s="158" t="s">
        <v>54</v>
      </c>
      <c r="M20" s="159"/>
      <c r="N20" s="160" t="s">
        <v>55</v>
      </c>
      <c r="O20" s="163"/>
      <c r="P20" s="161"/>
      <c r="Q20" s="161"/>
      <c r="R20" s="161"/>
      <c r="S20" s="20"/>
    </row>
    <row r="21" spans="1:19" ht="19.149999999999999" customHeight="1">
      <c r="A21" s="164" t="s">
        <v>2</v>
      </c>
      <c r="B21" s="165" t="s">
        <v>56</v>
      </c>
      <c r="C21" s="166"/>
      <c r="D21" s="167" t="s">
        <v>57</v>
      </c>
      <c r="E21" s="168">
        <f>'rekapitulace '!C24</f>
        <v>0</v>
      </c>
      <c r="F21" s="169"/>
      <c r="G21" s="164" t="s">
        <v>58</v>
      </c>
      <c r="H21" s="170" t="s">
        <v>59</v>
      </c>
      <c r="I21" s="171"/>
      <c r="J21" s="172">
        <v>0</v>
      </c>
      <c r="K21" s="173"/>
      <c r="L21" s="164" t="s">
        <v>60</v>
      </c>
      <c r="M21" s="170" t="s">
        <v>61</v>
      </c>
      <c r="N21" s="174"/>
      <c r="O21" s="174"/>
      <c r="P21" s="174"/>
      <c r="Q21" s="175">
        <v>0</v>
      </c>
      <c r="R21" s="168">
        <v>0</v>
      </c>
      <c r="S21" s="21"/>
    </row>
    <row r="22" spans="1:19" ht="19.149999999999999" customHeight="1">
      <c r="A22" s="164" t="s">
        <v>18</v>
      </c>
      <c r="B22" s="176"/>
      <c r="C22" s="177"/>
      <c r="D22" s="167" t="s">
        <v>17</v>
      </c>
      <c r="E22" s="168">
        <f>'rekapitulace '!D24</f>
        <v>0</v>
      </c>
      <c r="F22" s="169"/>
      <c r="G22" s="164" t="s">
        <v>62</v>
      </c>
      <c r="H22" s="120" t="s">
        <v>63</v>
      </c>
      <c r="I22" s="171"/>
      <c r="J22" s="172">
        <v>0</v>
      </c>
      <c r="K22" s="173"/>
      <c r="L22" s="164" t="s">
        <v>64</v>
      </c>
      <c r="M22" s="170" t="s">
        <v>65</v>
      </c>
      <c r="N22" s="174"/>
      <c r="O22" s="120"/>
      <c r="P22" s="174"/>
      <c r="Q22" s="175">
        <v>0</v>
      </c>
      <c r="R22" s="168">
        <v>0</v>
      </c>
      <c r="S22" s="21"/>
    </row>
    <row r="23" spans="1:19" ht="19.149999999999999" customHeight="1">
      <c r="A23" s="164" t="s">
        <v>19</v>
      </c>
      <c r="B23" s="165" t="s">
        <v>66</v>
      </c>
      <c r="C23" s="166"/>
      <c r="D23" s="167" t="s">
        <v>57</v>
      </c>
      <c r="E23" s="168">
        <v>0</v>
      </c>
      <c r="F23" s="169"/>
      <c r="G23" s="164" t="s">
        <v>67</v>
      </c>
      <c r="H23" s="170" t="s">
        <v>68</v>
      </c>
      <c r="I23" s="171"/>
      <c r="J23" s="172">
        <v>0</v>
      </c>
      <c r="K23" s="173"/>
      <c r="L23" s="164" t="s">
        <v>69</v>
      </c>
      <c r="M23" s="170" t="s">
        <v>70</v>
      </c>
      <c r="N23" s="174"/>
      <c r="O23" s="174"/>
      <c r="P23" s="174"/>
      <c r="Q23" s="175">
        <v>0</v>
      </c>
      <c r="R23" s="168">
        <v>0</v>
      </c>
      <c r="S23" s="21"/>
    </row>
    <row r="24" spans="1:19" ht="19.149999999999999" customHeight="1">
      <c r="A24" s="164" t="s">
        <v>20</v>
      </c>
      <c r="B24" s="176"/>
      <c r="C24" s="177"/>
      <c r="D24" s="167" t="s">
        <v>17</v>
      </c>
      <c r="E24" s="168">
        <v>0</v>
      </c>
      <c r="F24" s="169"/>
      <c r="G24" s="164" t="s">
        <v>71</v>
      </c>
      <c r="H24" s="170"/>
      <c r="I24" s="171"/>
      <c r="J24" s="172">
        <v>0</v>
      </c>
      <c r="K24" s="173"/>
      <c r="L24" s="164" t="s">
        <v>72</v>
      </c>
      <c r="M24" s="170" t="s">
        <v>73</v>
      </c>
      <c r="N24" s="174"/>
      <c r="O24" s="120"/>
      <c r="P24" s="174"/>
      <c r="Q24" s="175">
        <v>0</v>
      </c>
      <c r="R24" s="168">
        <v>0</v>
      </c>
      <c r="S24" s="21"/>
    </row>
    <row r="25" spans="1:19" ht="19.149999999999999" customHeight="1">
      <c r="A25" s="164" t="s">
        <v>21</v>
      </c>
      <c r="B25" s="165" t="s">
        <v>74</v>
      </c>
      <c r="C25" s="166"/>
      <c r="D25" s="167" t="s">
        <v>57</v>
      </c>
      <c r="E25" s="168">
        <v>0</v>
      </c>
      <c r="F25" s="169"/>
      <c r="G25" s="178"/>
      <c r="H25" s="174"/>
      <c r="I25" s="171"/>
      <c r="J25" s="172"/>
      <c r="K25" s="173"/>
      <c r="L25" s="164" t="s">
        <v>75</v>
      </c>
      <c r="M25" s="170" t="s">
        <v>76</v>
      </c>
      <c r="N25" s="174"/>
      <c r="O25" s="174"/>
      <c r="P25" s="174"/>
      <c r="Q25" s="175">
        <v>0</v>
      </c>
      <c r="R25" s="168">
        <v>0</v>
      </c>
      <c r="S25" s="21"/>
    </row>
    <row r="26" spans="1:19" ht="19.149999999999999" customHeight="1">
      <c r="A26" s="164" t="s">
        <v>22</v>
      </c>
      <c r="B26" s="176"/>
      <c r="C26" s="177"/>
      <c r="D26" s="167" t="s">
        <v>17</v>
      </c>
      <c r="E26" s="168">
        <v>0</v>
      </c>
      <c r="F26" s="169"/>
      <c r="G26" s="178"/>
      <c r="H26" s="174"/>
      <c r="I26" s="171"/>
      <c r="J26" s="172"/>
      <c r="K26" s="173"/>
      <c r="L26" s="164" t="s">
        <v>77</v>
      </c>
      <c r="M26" s="170" t="s">
        <v>78</v>
      </c>
      <c r="N26" s="174"/>
      <c r="O26" s="120"/>
      <c r="P26" s="174"/>
      <c r="Q26" s="171"/>
      <c r="R26" s="168">
        <v>0</v>
      </c>
      <c r="S26" s="21"/>
    </row>
    <row r="27" spans="1:19" ht="19.149999999999999" customHeight="1">
      <c r="A27" s="164" t="s">
        <v>23</v>
      </c>
      <c r="B27" s="179" t="s">
        <v>79</v>
      </c>
      <c r="C27" s="174"/>
      <c r="D27" s="171"/>
      <c r="E27" s="180">
        <f>SUM(E21:E26)</f>
        <v>0</v>
      </c>
      <c r="F27" s="181"/>
      <c r="G27" s="164" t="s">
        <v>80</v>
      </c>
      <c r="H27" s="179" t="s">
        <v>81</v>
      </c>
      <c r="I27" s="171"/>
      <c r="J27" s="182"/>
      <c r="K27" s="183"/>
      <c r="L27" s="164" t="s">
        <v>82</v>
      </c>
      <c r="M27" s="179" t="s">
        <v>373</v>
      </c>
      <c r="N27" s="174"/>
      <c r="O27" s="174"/>
      <c r="P27" s="174"/>
      <c r="Q27" s="171"/>
      <c r="R27" s="180">
        <f>'rekapitulace '!E23</f>
        <v>0</v>
      </c>
      <c r="S27" s="17"/>
    </row>
    <row r="28" spans="1:19" ht="19.149999999999999" customHeight="1">
      <c r="A28" s="184" t="s">
        <v>83</v>
      </c>
      <c r="B28" s="185" t="s">
        <v>84</v>
      </c>
      <c r="C28" s="186"/>
      <c r="D28" s="187"/>
      <c r="E28" s="188">
        <v>0</v>
      </c>
      <c r="F28" s="189"/>
      <c r="G28" s="184" t="s">
        <v>85</v>
      </c>
      <c r="H28" s="185" t="s">
        <v>86</v>
      </c>
      <c r="I28" s="187"/>
      <c r="J28" s="190">
        <v>0</v>
      </c>
      <c r="K28" s="191"/>
      <c r="L28" s="184" t="s">
        <v>87</v>
      </c>
      <c r="M28" s="185" t="s">
        <v>88</v>
      </c>
      <c r="N28" s="186"/>
      <c r="O28" s="141"/>
      <c r="P28" s="186"/>
      <c r="Q28" s="187"/>
      <c r="R28" s="188">
        <v>0</v>
      </c>
      <c r="S28" s="16"/>
    </row>
    <row r="29" spans="1:19" ht="19.149999999999999" customHeight="1">
      <c r="A29" s="192" t="s">
        <v>35</v>
      </c>
      <c r="B29" s="118"/>
      <c r="C29" s="118"/>
      <c r="D29" s="118"/>
      <c r="E29" s="118"/>
      <c r="F29" s="193"/>
      <c r="G29" s="194"/>
      <c r="H29" s="118"/>
      <c r="I29" s="118"/>
      <c r="J29" s="118"/>
      <c r="K29" s="118"/>
      <c r="L29" s="158" t="s">
        <v>89</v>
      </c>
      <c r="M29" s="147"/>
      <c r="N29" s="160" t="s">
        <v>90</v>
      </c>
      <c r="O29" s="120"/>
      <c r="P29" s="146"/>
      <c r="Q29" s="146"/>
      <c r="R29" s="146"/>
      <c r="S29" s="18"/>
    </row>
    <row r="30" spans="1:19" ht="19.149999999999999" customHeight="1">
      <c r="A30" s="119"/>
      <c r="B30" s="120"/>
      <c r="C30" s="120"/>
      <c r="D30" s="120"/>
      <c r="E30" s="120"/>
      <c r="F30" s="195"/>
      <c r="G30" s="196"/>
      <c r="H30" s="120"/>
      <c r="I30" s="120"/>
      <c r="J30" s="120"/>
      <c r="K30" s="120"/>
      <c r="L30" s="164" t="s">
        <v>91</v>
      </c>
      <c r="M30" s="170" t="s">
        <v>92</v>
      </c>
      <c r="N30" s="174"/>
      <c r="O30" s="174"/>
      <c r="P30" s="174"/>
      <c r="Q30" s="171"/>
      <c r="R30" s="180">
        <f>E27+R27</f>
        <v>0</v>
      </c>
      <c r="S30" s="17"/>
    </row>
    <row r="31" spans="1:19" ht="19.149999999999999" customHeight="1">
      <c r="A31" s="197" t="s">
        <v>93</v>
      </c>
      <c r="B31" s="198"/>
      <c r="C31" s="198"/>
      <c r="D31" s="198"/>
      <c r="E31" s="198"/>
      <c r="F31" s="177"/>
      <c r="G31" s="199" t="s">
        <v>94</v>
      </c>
      <c r="H31" s="198"/>
      <c r="I31" s="198"/>
      <c r="J31" s="198"/>
      <c r="K31" s="198"/>
      <c r="L31" s="164" t="s">
        <v>95</v>
      </c>
      <c r="M31" s="170" t="s">
        <v>96</v>
      </c>
      <c r="N31" s="200">
        <v>5</v>
      </c>
      <c r="O31" s="120" t="s">
        <v>97</v>
      </c>
      <c r="P31" s="201">
        <v>0</v>
      </c>
      <c r="Q31" s="124"/>
      <c r="R31" s="202">
        <v>0</v>
      </c>
      <c r="S31" s="22"/>
    </row>
    <row r="32" spans="1:19" ht="19.149999999999999" customHeight="1" thickBot="1">
      <c r="A32" s="203" t="s">
        <v>34</v>
      </c>
      <c r="B32" s="204"/>
      <c r="C32" s="204"/>
      <c r="D32" s="204"/>
      <c r="E32" s="204"/>
      <c r="F32" s="166"/>
      <c r="G32" s="205"/>
      <c r="H32" s="204"/>
      <c r="I32" s="204"/>
      <c r="J32" s="204"/>
      <c r="K32" s="204"/>
      <c r="L32" s="164" t="s">
        <v>98</v>
      </c>
      <c r="M32" s="170" t="s">
        <v>96</v>
      </c>
      <c r="N32" s="200">
        <v>21</v>
      </c>
      <c r="O32" s="174" t="s">
        <v>97</v>
      </c>
      <c r="P32" s="206">
        <f>R30</f>
        <v>0</v>
      </c>
      <c r="Q32" s="207"/>
      <c r="R32" s="168">
        <f>ROUND(0.21*P32,2)</f>
        <v>0</v>
      </c>
      <c r="S32" s="21"/>
    </row>
    <row r="33" spans="1:19" ht="19.149999999999999" customHeight="1" thickBot="1">
      <c r="A33" s="119"/>
      <c r="B33" s="120"/>
      <c r="C33" s="120"/>
      <c r="D33" s="120"/>
      <c r="E33" s="120"/>
      <c r="F33" s="195"/>
      <c r="G33" s="196"/>
      <c r="H33" s="120"/>
      <c r="I33" s="120"/>
      <c r="J33" s="120"/>
      <c r="K33" s="120"/>
      <c r="L33" s="184" t="s">
        <v>99</v>
      </c>
      <c r="M33" s="208" t="s">
        <v>100</v>
      </c>
      <c r="N33" s="186"/>
      <c r="O33" s="120"/>
      <c r="P33" s="186"/>
      <c r="Q33" s="187"/>
      <c r="R33" s="209">
        <f>R30+R32</f>
        <v>0</v>
      </c>
      <c r="S33" s="15"/>
    </row>
    <row r="34" spans="1:19" ht="19.149999999999999" customHeight="1">
      <c r="A34" s="197" t="s">
        <v>93</v>
      </c>
      <c r="B34" s="198"/>
      <c r="C34" s="198"/>
      <c r="D34" s="198"/>
      <c r="E34" s="198"/>
      <c r="F34" s="177"/>
      <c r="G34" s="199" t="s">
        <v>94</v>
      </c>
      <c r="H34" s="198"/>
      <c r="I34" s="198"/>
      <c r="J34" s="198"/>
      <c r="K34" s="198"/>
      <c r="L34" s="158" t="s">
        <v>101</v>
      </c>
      <c r="M34" s="147"/>
      <c r="N34" s="160" t="s">
        <v>102</v>
      </c>
      <c r="O34" s="118"/>
      <c r="P34" s="146"/>
      <c r="Q34" s="146"/>
      <c r="R34" s="146"/>
      <c r="S34" s="18"/>
    </row>
    <row r="35" spans="1:19" ht="19.149999999999999" customHeight="1">
      <c r="A35" s="203" t="s">
        <v>36</v>
      </c>
      <c r="B35" s="204"/>
      <c r="C35" s="204"/>
      <c r="D35" s="204"/>
      <c r="E35" s="204"/>
      <c r="F35" s="166"/>
      <c r="G35" s="205"/>
      <c r="H35" s="204"/>
      <c r="I35" s="204"/>
      <c r="J35" s="204"/>
      <c r="K35" s="204"/>
      <c r="L35" s="164" t="s">
        <v>103</v>
      </c>
      <c r="M35" s="170" t="s">
        <v>104</v>
      </c>
      <c r="N35" s="174"/>
      <c r="O35" s="174"/>
      <c r="P35" s="174"/>
      <c r="Q35" s="171"/>
      <c r="R35" s="168">
        <v>0</v>
      </c>
      <c r="S35" s="21"/>
    </row>
    <row r="36" spans="1:19" ht="19.149999999999999" customHeight="1">
      <c r="A36" s="119"/>
      <c r="B36" s="120"/>
      <c r="C36" s="120"/>
      <c r="D36" s="120"/>
      <c r="E36" s="120"/>
      <c r="F36" s="195"/>
      <c r="G36" s="196"/>
      <c r="H36" s="120"/>
      <c r="I36" s="120"/>
      <c r="J36" s="120"/>
      <c r="K36" s="120"/>
      <c r="L36" s="164" t="s">
        <v>105</v>
      </c>
      <c r="M36" s="170" t="s">
        <v>106</v>
      </c>
      <c r="N36" s="174"/>
      <c r="O36" s="198"/>
      <c r="P36" s="174"/>
      <c r="Q36" s="171"/>
      <c r="R36" s="168">
        <v>0</v>
      </c>
      <c r="S36" s="21"/>
    </row>
    <row r="37" spans="1:19" ht="19.149999999999999" customHeight="1">
      <c r="A37" s="210" t="s">
        <v>93</v>
      </c>
      <c r="B37" s="141"/>
      <c r="C37" s="141"/>
      <c r="D37" s="141"/>
      <c r="E37" s="141"/>
      <c r="F37" s="211"/>
      <c r="G37" s="212" t="s">
        <v>94</v>
      </c>
      <c r="H37" s="141"/>
      <c r="I37" s="141"/>
      <c r="J37" s="141"/>
      <c r="K37" s="141"/>
      <c r="L37" s="184" t="s">
        <v>107</v>
      </c>
      <c r="M37" s="185" t="s">
        <v>108</v>
      </c>
      <c r="N37" s="186"/>
      <c r="O37" s="141"/>
      <c r="P37" s="186"/>
      <c r="Q37" s="187"/>
      <c r="R37" s="152">
        <v>0</v>
      </c>
      <c r="S37" s="23"/>
    </row>
  </sheetData>
  <mergeCells count="11">
    <mergeCell ref="O11:P11"/>
    <mergeCell ref="O13:P13"/>
    <mergeCell ref="O14:P14"/>
    <mergeCell ref="P31:Q31"/>
    <mergeCell ref="P32:Q32"/>
    <mergeCell ref="O10:P10"/>
    <mergeCell ref="O5:P5"/>
    <mergeCell ref="O6:P6"/>
    <mergeCell ref="O7:P7"/>
    <mergeCell ref="O8:P8"/>
    <mergeCell ref="O9:P9"/>
  </mergeCells>
  <pageMargins left="0.39375001192092896" right="0.39375001192092896" top="0.78750002384185791" bottom="0.78750002384185791" header="0" footer="0"/>
  <pageSetup scale="76" orientation="landscape" blackAndWhite="1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1"/>
  <sheetViews>
    <sheetView showGridLines="0" workbookViewId="0">
      <selection activeCell="B12" sqref="B12"/>
    </sheetView>
  </sheetViews>
  <sheetFormatPr defaultColWidth="11.42578125" defaultRowHeight="11.45" customHeight="1"/>
  <cols>
    <col min="1" max="1" width="7" style="1" customWidth="1"/>
    <col min="2" max="2" width="55.42578125" style="1" customWidth="1"/>
    <col min="3" max="3" width="22.28515625" style="1" customWidth="1"/>
    <col min="4" max="5" width="22.140625" style="1" customWidth="1"/>
    <col min="6" max="6" width="14.140625" style="1" customWidth="1"/>
    <col min="7" max="7" width="13.5703125" style="1" customWidth="1"/>
    <col min="8" max="16384" width="11.42578125" style="1"/>
  </cols>
  <sheetData>
    <row r="1" spans="1:8" ht="20.100000000000001" customHeight="1">
      <c r="A1" s="289" t="s">
        <v>14</v>
      </c>
      <c r="B1" s="113"/>
      <c r="C1" s="113"/>
      <c r="D1" s="113"/>
      <c r="E1" s="113"/>
      <c r="F1" s="113"/>
      <c r="G1" s="113"/>
      <c r="H1" s="114"/>
    </row>
    <row r="2" spans="1:8" ht="20.100000000000001" customHeight="1">
      <c r="A2" s="290" t="s">
        <v>375</v>
      </c>
      <c r="B2" s="290"/>
      <c r="C2" s="115"/>
      <c r="D2" s="115"/>
      <c r="E2" s="115"/>
      <c r="F2" s="115"/>
      <c r="G2" s="116"/>
      <c r="H2" s="116"/>
    </row>
    <row r="3" spans="1:8" ht="20.100000000000001" customHeight="1">
      <c r="A3" s="290" t="s">
        <v>114</v>
      </c>
      <c r="B3" s="290"/>
      <c r="C3" s="115"/>
      <c r="D3" s="115"/>
      <c r="E3" s="115" t="s">
        <v>12</v>
      </c>
      <c r="F3" s="115"/>
      <c r="G3" s="116"/>
      <c r="H3" s="116"/>
    </row>
    <row r="4" spans="1:8" ht="20.100000000000001" customHeight="1">
      <c r="A4" s="290" t="s">
        <v>11</v>
      </c>
      <c r="B4" s="290"/>
      <c r="C4" s="115"/>
      <c r="D4" s="115"/>
      <c r="E4" s="115" t="s">
        <v>10</v>
      </c>
      <c r="F4" s="115"/>
      <c r="G4" s="116"/>
      <c r="H4" s="116"/>
    </row>
    <row r="5" spans="1:8" ht="20.100000000000001" customHeight="1">
      <c r="A5" s="115" t="s">
        <v>376</v>
      </c>
      <c r="B5" s="115"/>
      <c r="C5" s="115"/>
      <c r="D5" s="115" t="s">
        <v>111</v>
      </c>
      <c r="E5" s="115" t="s">
        <v>9</v>
      </c>
      <c r="F5" s="115"/>
      <c r="G5" s="116"/>
      <c r="H5" s="116"/>
    </row>
    <row r="6" spans="1:8" ht="20.100000000000001" customHeight="1" thickBot="1">
      <c r="A6" s="115" t="s">
        <v>397</v>
      </c>
      <c r="B6" s="115"/>
      <c r="C6" s="115"/>
      <c r="D6" s="115"/>
      <c r="E6" s="115" t="s">
        <v>396</v>
      </c>
      <c r="F6" s="115"/>
      <c r="G6" s="116"/>
      <c r="H6" s="116"/>
    </row>
    <row r="7" spans="1:8" ht="21.95" customHeight="1" thickBot="1">
      <c r="A7" s="297" t="s">
        <v>15</v>
      </c>
      <c r="B7" s="297" t="s">
        <v>6</v>
      </c>
      <c r="C7" s="297" t="s">
        <v>16</v>
      </c>
      <c r="D7" s="297" t="s">
        <v>17</v>
      </c>
      <c r="E7" s="297" t="s">
        <v>3</v>
      </c>
      <c r="F7" s="104"/>
    </row>
    <row r="8" spans="1:8" ht="21.95" customHeight="1" thickBot="1">
      <c r="A8" s="297" t="s">
        <v>2</v>
      </c>
      <c r="B8" s="297" t="s">
        <v>18</v>
      </c>
      <c r="C8" s="297" t="s">
        <v>19</v>
      </c>
      <c r="D8" s="297" t="s">
        <v>20</v>
      </c>
      <c r="E8" s="297" t="s">
        <v>21</v>
      </c>
      <c r="F8" s="104"/>
    </row>
    <row r="9" spans="1:8" ht="20.100000000000001" customHeight="1">
      <c r="A9" s="105"/>
      <c r="B9" s="105" t="s">
        <v>24</v>
      </c>
      <c r="C9" s="106">
        <f>C24</f>
        <v>0</v>
      </c>
      <c r="D9" s="106">
        <f>D24</f>
        <v>0</v>
      </c>
      <c r="E9" s="106">
        <f>C9+D9</f>
        <v>0</v>
      </c>
      <c r="F9" s="104"/>
    </row>
    <row r="10" spans="1:8" ht="20.100000000000001" customHeight="1">
      <c r="A10" s="107">
        <v>1</v>
      </c>
      <c r="B10" s="108" t="str">
        <f>'položkový rozpočet'!C9</f>
        <v>bourací práce</v>
      </c>
      <c r="C10" s="109">
        <v>0</v>
      </c>
      <c r="D10" s="109">
        <f>E10</f>
        <v>0</v>
      </c>
      <c r="E10" s="109">
        <f>'položkový rozpočet'!G9</f>
        <v>0</v>
      </c>
      <c r="F10" s="104"/>
    </row>
    <row r="11" spans="1:8" ht="20.100000000000001" customHeight="1">
      <c r="A11" s="107">
        <v>2</v>
      </c>
      <c r="B11" s="108" t="str">
        <f>'položkový rozpočet'!C107</f>
        <v xml:space="preserve">zastřešení schodů do 1.PP </v>
      </c>
      <c r="C11" s="109">
        <f>'položkový rozpočet'!G112</f>
        <v>0</v>
      </c>
      <c r="D11" s="109">
        <f>E11-C11</f>
        <v>0</v>
      </c>
      <c r="E11" s="109">
        <f>'položkový rozpočet'!G107</f>
        <v>0</v>
      </c>
      <c r="F11" s="110"/>
    </row>
    <row r="12" spans="1:8" ht="20.100000000000001" customHeight="1">
      <c r="A12" s="107">
        <v>3</v>
      </c>
      <c r="B12" s="108" t="str">
        <f>'položkový rozpočet'!C116</f>
        <v xml:space="preserve">úprava povrchů vnitřních </v>
      </c>
      <c r="C12" s="109">
        <v>0</v>
      </c>
      <c r="D12" s="109">
        <f>E12-C12</f>
        <v>0</v>
      </c>
      <c r="E12" s="109">
        <f>'položkový rozpočet'!G116</f>
        <v>0</v>
      </c>
      <c r="F12" s="110"/>
    </row>
    <row r="13" spans="1:8" ht="20.100000000000001" customHeight="1">
      <c r="A13" s="107">
        <v>4</v>
      </c>
      <c r="B13" s="108" t="str">
        <f>'položkový rozpočet'!C120</f>
        <v xml:space="preserve">úprava povrchů vnějších </v>
      </c>
      <c r="C13" s="109">
        <v>0</v>
      </c>
      <c r="D13" s="109">
        <f>E13-C13</f>
        <v>0</v>
      </c>
      <c r="E13" s="109">
        <f>'položkový rozpočet'!G120</f>
        <v>0</v>
      </c>
      <c r="F13" s="110"/>
    </row>
    <row r="14" spans="1:8" ht="20.100000000000001" customHeight="1">
      <c r="A14" s="107">
        <v>5</v>
      </c>
      <c r="B14" s="108" t="str">
        <f>'položkový rozpočet'!C174</f>
        <v xml:space="preserve">lešení </v>
      </c>
      <c r="C14" s="109">
        <v>0</v>
      </c>
      <c r="D14" s="109">
        <f>E14</f>
        <v>0</v>
      </c>
      <c r="E14" s="109">
        <f>'položkový rozpočet'!G174</f>
        <v>0</v>
      </c>
      <c r="F14" s="110"/>
    </row>
    <row r="15" spans="1:8" ht="20.100000000000001" customHeight="1">
      <c r="A15" s="107">
        <v>6</v>
      </c>
      <c r="B15" s="108" t="str">
        <f>'položkový rozpočet'!C195</f>
        <v xml:space="preserve">přesun hmot </v>
      </c>
      <c r="C15" s="109">
        <v>0</v>
      </c>
      <c r="D15" s="109">
        <f>E15</f>
        <v>0</v>
      </c>
      <c r="E15" s="109">
        <f>'položkový rozpočet'!G195</f>
        <v>0</v>
      </c>
      <c r="F15" s="110"/>
    </row>
    <row r="16" spans="1:8" ht="20.100000000000001" customHeight="1">
      <c r="A16" s="107">
        <v>7</v>
      </c>
      <c r="B16" s="280" t="str">
        <f>'položkový rozpočet'!C198</f>
        <v>tesařské konstrukce</v>
      </c>
      <c r="C16" s="109">
        <f>'položkový rozpočet'!G201</f>
        <v>0</v>
      </c>
      <c r="D16" s="109">
        <f>E16-C16</f>
        <v>0</v>
      </c>
      <c r="E16" s="109">
        <f>'položkový rozpočet'!G198</f>
        <v>0</v>
      </c>
      <c r="F16" s="110"/>
    </row>
    <row r="17" spans="1:6" ht="20.100000000000001" customHeight="1">
      <c r="A17" s="107">
        <v>8</v>
      </c>
      <c r="B17" s="108" t="str">
        <f>'položkový rozpočet'!C209</f>
        <v xml:space="preserve">klempířské konstrukce </v>
      </c>
      <c r="C17" s="109">
        <v>0</v>
      </c>
      <c r="D17" s="109">
        <f>E17</f>
        <v>0</v>
      </c>
      <c r="E17" s="109">
        <f>'položkový rozpočet'!G209</f>
        <v>0</v>
      </c>
      <c r="F17" s="110"/>
    </row>
    <row r="18" spans="1:6" ht="20.100000000000001" customHeight="1">
      <c r="A18" s="107">
        <v>9</v>
      </c>
      <c r="B18" s="108" t="str">
        <f>'položkový rozpočet'!C234</f>
        <v>truhlářské konstrukce</v>
      </c>
      <c r="C18" s="109">
        <f>'položkový rozpočet'!G237+'položkový rozpočet'!G241+'položkový rozpočet'!G243+'položkový rozpočet'!G245+'položkový rozpočet'!G247+'položkový rozpočet'!G249+'položkový rozpočet'!G251</f>
        <v>0</v>
      </c>
      <c r="D18" s="109">
        <f>E18-C18</f>
        <v>0</v>
      </c>
      <c r="E18" s="109">
        <f>'položkový rozpočet'!G234</f>
        <v>0</v>
      </c>
      <c r="F18" s="110"/>
    </row>
    <row r="19" spans="1:6" ht="20.100000000000001" customHeight="1">
      <c r="A19" s="107">
        <v>10</v>
      </c>
      <c r="B19" s="108" t="str">
        <f>'položkový rozpočet'!C255</f>
        <v xml:space="preserve">zámečnické konstrukce </v>
      </c>
      <c r="C19" s="109">
        <v>0</v>
      </c>
      <c r="D19" s="109">
        <f>E19</f>
        <v>0</v>
      </c>
      <c r="E19" s="109">
        <f>'položkový rozpočet'!G255</f>
        <v>0</v>
      </c>
      <c r="F19" s="110"/>
    </row>
    <row r="20" spans="1:6" ht="20.100000000000001" customHeight="1">
      <c r="A20" s="107">
        <v>11</v>
      </c>
      <c r="B20" s="108" t="str">
        <f>'položkový rozpočet'!C262</f>
        <v xml:space="preserve">obklady z kamene </v>
      </c>
      <c r="C20" s="109">
        <f>'položkový rozpočet'!G275</f>
        <v>0</v>
      </c>
      <c r="D20" s="109">
        <f>E20-C20</f>
        <v>0</v>
      </c>
      <c r="E20" s="109">
        <f>'položkový rozpočet'!G262</f>
        <v>0</v>
      </c>
      <c r="F20" s="110"/>
    </row>
    <row r="21" spans="1:6" ht="20.100000000000001" customHeight="1">
      <c r="A21" s="107">
        <v>12</v>
      </c>
      <c r="B21" s="108" t="str">
        <f>'položkový rozpočet'!C279</f>
        <v>nátěry</v>
      </c>
      <c r="C21" s="109">
        <v>0</v>
      </c>
      <c r="D21" s="109">
        <f>E21-C21</f>
        <v>0</v>
      </c>
      <c r="E21" s="109">
        <f>'položkový rozpočet'!G279</f>
        <v>0</v>
      </c>
      <c r="F21" s="110"/>
    </row>
    <row r="22" spans="1:6" ht="20.100000000000001" customHeight="1">
      <c r="A22" s="107">
        <v>13</v>
      </c>
      <c r="B22" s="108" t="str">
        <f>'položkový rozpočet'!C311</f>
        <v>ostatní konstrukce a práce</v>
      </c>
      <c r="C22" s="109">
        <f>'položkový rozpočet'!G314+'položkový rozpočet'!G318+'položkový rozpočet'!G326+'položkový rozpočet'!G330</f>
        <v>0</v>
      </c>
      <c r="D22" s="109">
        <f>E22-C22</f>
        <v>0</v>
      </c>
      <c r="E22" s="109">
        <f>'položkový rozpočet'!G311</f>
        <v>0</v>
      </c>
      <c r="F22" s="110"/>
    </row>
    <row r="23" spans="1:6" ht="20.100000000000001" customHeight="1">
      <c r="A23" s="107">
        <v>14</v>
      </c>
      <c r="B23" s="108" t="s">
        <v>364</v>
      </c>
      <c r="C23" s="109"/>
      <c r="D23" s="109"/>
      <c r="E23" s="109">
        <f>VRN!G9</f>
        <v>0</v>
      </c>
      <c r="F23" s="110"/>
    </row>
    <row r="24" spans="1:6" ht="20.100000000000001" customHeight="1">
      <c r="A24" s="111"/>
      <c r="B24" s="111" t="s">
        <v>1</v>
      </c>
      <c r="C24" s="112">
        <f>SUM(C10:C22)</f>
        <v>0</v>
      </c>
      <c r="D24" s="112">
        <f>SUM(D10:D22)</f>
        <v>0</v>
      </c>
      <c r="E24" s="112">
        <f>SUM(E10:E23)</f>
        <v>0</v>
      </c>
      <c r="F24" s="110"/>
    </row>
    <row r="25" spans="1:6" ht="20.100000000000001" customHeight="1">
      <c r="A25" s="104"/>
      <c r="B25" s="104"/>
      <c r="C25" s="110"/>
      <c r="D25" s="104"/>
      <c r="E25" s="104"/>
      <c r="F25" s="104"/>
    </row>
    <row r="26" spans="1:6" ht="21.95" customHeight="1">
      <c r="A26" s="104"/>
      <c r="B26" s="104"/>
      <c r="C26" s="110"/>
      <c r="D26" s="104"/>
      <c r="E26" s="104"/>
      <c r="F26" s="104"/>
    </row>
    <row r="31" spans="1:6" ht="11.45" customHeight="1">
      <c r="E31" s="2"/>
    </row>
  </sheetData>
  <pageMargins left="0.39370078740157483" right="0.39370078740157483" top="0.78740157480314965" bottom="0.78740157480314965" header="0" footer="0"/>
  <pageSetup fitToHeight="100" orientation="landscape" blackAndWhite="1" horizontalDpi="300" verticalDpi="300" r:id="rId1"/>
  <headerFooter alignWithMargins="0">
    <oddHeader xml:space="preserve">&amp;COprava fasády objektu "K" výpočetní středisko Nemocnice Děčín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61"/>
  <sheetViews>
    <sheetView showGridLines="0" zoomScale="150" zoomScaleNormal="150" workbookViewId="0">
      <selection activeCell="C6" sqref="C6"/>
    </sheetView>
  </sheetViews>
  <sheetFormatPr defaultColWidth="11.42578125" defaultRowHeight="9.6" customHeight="1"/>
  <cols>
    <col min="1" max="1" width="4.7109375" style="1" customWidth="1"/>
    <col min="2" max="2" width="16.5703125" style="1" customWidth="1"/>
    <col min="3" max="3" width="70.85546875" style="1" customWidth="1"/>
    <col min="4" max="4" width="4.7109375" style="1" customWidth="1"/>
    <col min="5" max="5" width="11.7109375" style="1" customWidth="1"/>
    <col min="6" max="6" width="10.85546875" style="1" customWidth="1"/>
    <col min="7" max="7" width="12.7109375" style="1" customWidth="1"/>
    <col min="8" max="8" width="9" style="1" hidden="1" customWidth="1"/>
    <col min="9" max="9" width="16.85546875" style="1" hidden="1" customWidth="1"/>
    <col min="10" max="10" width="42.85546875" style="1" customWidth="1"/>
    <col min="11" max="16384" width="11.42578125" style="1"/>
  </cols>
  <sheetData>
    <row r="1" spans="1:10" ht="15" customHeight="1">
      <c r="A1" s="291" t="s">
        <v>13</v>
      </c>
      <c r="B1" s="116"/>
      <c r="C1" s="116"/>
      <c r="D1" s="116"/>
      <c r="E1" s="116"/>
      <c r="F1" s="116"/>
      <c r="G1" s="116"/>
    </row>
    <row r="2" spans="1:10" ht="21.95" customHeight="1">
      <c r="A2" s="292" t="s">
        <v>377</v>
      </c>
      <c r="B2" s="293"/>
      <c r="C2" s="293"/>
      <c r="D2" s="293"/>
      <c r="E2" s="293"/>
      <c r="F2" s="293"/>
      <c r="G2" s="293"/>
      <c r="H2" s="24"/>
      <c r="I2" s="24"/>
      <c r="J2" s="24"/>
    </row>
    <row r="3" spans="1:10" ht="21.95" customHeight="1">
      <c r="A3" s="292" t="s">
        <v>114</v>
      </c>
      <c r="B3" s="293"/>
      <c r="C3" s="293"/>
      <c r="D3" s="293"/>
      <c r="E3" s="293" t="s">
        <v>12</v>
      </c>
      <c r="F3" s="293"/>
      <c r="G3" s="293"/>
      <c r="H3" s="24"/>
      <c r="I3" s="24"/>
      <c r="J3" s="24"/>
    </row>
    <row r="4" spans="1:10" ht="21.95" customHeight="1">
      <c r="A4" s="292" t="s">
        <v>11</v>
      </c>
      <c r="B4" s="293"/>
      <c r="C4" s="293"/>
      <c r="D4" s="293"/>
      <c r="E4" s="293" t="s">
        <v>10</v>
      </c>
      <c r="F4" s="293"/>
      <c r="G4" s="293"/>
      <c r="H4" s="24"/>
      <c r="I4" s="24"/>
      <c r="J4" s="24"/>
    </row>
    <row r="5" spans="1:10" ht="21.95" customHeight="1">
      <c r="A5" s="294" t="s">
        <v>376</v>
      </c>
      <c r="B5" s="295"/>
      <c r="C5" s="295"/>
      <c r="D5" s="293"/>
      <c r="E5" s="293" t="s">
        <v>9</v>
      </c>
      <c r="F5" s="293"/>
      <c r="G5" s="293"/>
      <c r="H5" s="24"/>
      <c r="I5" s="24"/>
      <c r="J5" s="24"/>
    </row>
    <row r="6" spans="1:10" ht="21.95" customHeight="1" thickBot="1">
      <c r="A6" s="293" t="s">
        <v>395</v>
      </c>
      <c r="B6" s="293"/>
      <c r="C6" s="293"/>
      <c r="D6" s="293"/>
      <c r="E6" s="293" t="s">
        <v>394</v>
      </c>
      <c r="F6" s="293"/>
      <c r="G6" s="293"/>
      <c r="H6" s="24"/>
      <c r="I6" s="24"/>
      <c r="J6" s="24"/>
    </row>
    <row r="7" spans="1:10" ht="26.25" customHeight="1" thickBot="1">
      <c r="A7" s="296" t="s">
        <v>8</v>
      </c>
      <c r="B7" s="296" t="s">
        <v>7</v>
      </c>
      <c r="C7" s="296" t="s">
        <v>6</v>
      </c>
      <c r="D7" s="296" t="s">
        <v>5</v>
      </c>
      <c r="E7" s="296" t="s">
        <v>4</v>
      </c>
      <c r="F7" s="296"/>
      <c r="G7" s="296" t="s">
        <v>3</v>
      </c>
      <c r="H7" s="24"/>
      <c r="I7" s="24"/>
      <c r="J7" s="24"/>
    </row>
    <row r="8" spans="1:10" ht="21.95" customHeight="1" thickBot="1">
      <c r="A8" s="296" t="s">
        <v>2</v>
      </c>
      <c r="B8" s="296">
        <v>2</v>
      </c>
      <c r="C8" s="296">
        <v>3</v>
      </c>
      <c r="D8" s="296">
        <v>4</v>
      </c>
      <c r="E8" s="296">
        <v>5</v>
      </c>
      <c r="F8" s="296"/>
      <c r="G8" s="296">
        <v>7</v>
      </c>
      <c r="H8" s="24"/>
      <c r="I8" s="24"/>
      <c r="J8" s="24"/>
    </row>
    <row r="9" spans="1:10" ht="20.100000000000001" customHeight="1" thickBot="1">
      <c r="A9" s="59"/>
      <c r="B9" s="60">
        <v>1</v>
      </c>
      <c r="C9" s="61" t="s">
        <v>120</v>
      </c>
      <c r="D9" s="61"/>
      <c r="E9" s="62"/>
      <c r="F9" s="63"/>
      <c r="G9" s="63">
        <f>SUM(G10:G105)</f>
        <v>0</v>
      </c>
      <c r="H9" s="24"/>
      <c r="I9" s="24"/>
      <c r="J9" s="24"/>
    </row>
    <row r="10" spans="1:10" ht="20.100000000000001" customHeight="1" thickBot="1">
      <c r="A10" s="64">
        <v>1</v>
      </c>
      <c r="B10" s="65">
        <v>962032231</v>
      </c>
      <c r="C10" s="66" t="s">
        <v>121</v>
      </c>
      <c r="D10" s="65" t="s">
        <v>119</v>
      </c>
      <c r="E10" s="67">
        <f>SUM(E11:E13)</f>
        <v>5.1683039999999991</v>
      </c>
      <c r="F10" s="68"/>
      <c r="G10" s="69">
        <f>ROUND(E10*F10,2)</f>
        <v>0</v>
      </c>
      <c r="H10" s="27">
        <v>1.8</v>
      </c>
      <c r="I10" s="226">
        <f>E10*H10</f>
        <v>9.3029471999999984</v>
      </c>
      <c r="J10" s="24"/>
    </row>
    <row r="11" spans="1:10" ht="20.100000000000001" customHeight="1">
      <c r="A11" s="219"/>
      <c r="B11" s="220"/>
      <c r="C11" s="221" t="s">
        <v>122</v>
      </c>
      <c r="D11" s="220"/>
      <c r="E11" s="222">
        <f>0.33*2.8*(4.03+1.79+1.79)</f>
        <v>7.0316399999999994</v>
      </c>
      <c r="F11" s="223"/>
      <c r="G11" s="223"/>
      <c r="H11" s="27"/>
      <c r="I11" s="27"/>
      <c r="J11" s="24"/>
    </row>
    <row r="12" spans="1:10" ht="20.100000000000001" customHeight="1">
      <c r="A12" s="219"/>
      <c r="B12" s="220"/>
      <c r="C12" s="221" t="s">
        <v>123</v>
      </c>
      <c r="D12" s="220"/>
      <c r="E12" s="222">
        <f>0.15*0.5*(2.36+2.36)</f>
        <v>0.35399999999999998</v>
      </c>
      <c r="F12" s="223"/>
      <c r="G12" s="223"/>
      <c r="H12" s="27"/>
      <c r="I12" s="27"/>
      <c r="J12" s="24"/>
    </row>
    <row r="13" spans="1:10" ht="20.100000000000001" customHeight="1" thickBot="1">
      <c r="A13" s="219"/>
      <c r="B13" s="220"/>
      <c r="C13" s="224" t="s">
        <v>124</v>
      </c>
      <c r="D13" s="220"/>
      <c r="E13" s="222">
        <f>-(2.34*1.16+0.86*1.16+1.79*1.68)*0.33</f>
        <v>-2.217336</v>
      </c>
      <c r="F13" s="223"/>
      <c r="G13" s="223"/>
      <c r="H13" s="27"/>
      <c r="I13" s="226"/>
      <c r="J13" s="24"/>
    </row>
    <row r="14" spans="1:10" ht="20.100000000000001" customHeight="1" thickBot="1">
      <c r="A14" s="64">
        <v>2</v>
      </c>
      <c r="B14" s="65">
        <v>963012510</v>
      </c>
      <c r="C14" s="66" t="s">
        <v>125</v>
      </c>
      <c r="D14" s="65" t="s">
        <v>119</v>
      </c>
      <c r="E14" s="67">
        <f>SUM(E15:E16)</f>
        <v>1.6624950000000001</v>
      </c>
      <c r="F14" s="68"/>
      <c r="G14" s="69">
        <f>ROUND(E14*F14,2)</f>
        <v>0</v>
      </c>
      <c r="H14" s="27">
        <v>1.6</v>
      </c>
      <c r="I14" s="226">
        <f>E14*H14</f>
        <v>2.6599920000000004</v>
      </c>
      <c r="J14" s="24"/>
    </row>
    <row r="15" spans="1:10" ht="20.100000000000001" customHeight="1">
      <c r="A15" s="29"/>
      <c r="B15" s="30"/>
      <c r="C15" s="31" t="s">
        <v>185</v>
      </c>
      <c r="D15" s="30"/>
      <c r="E15" s="225">
        <f>0.15*4.03*2.11</f>
        <v>1.275495</v>
      </c>
      <c r="F15" s="33"/>
      <c r="G15" s="33"/>
      <c r="H15" s="27"/>
      <c r="I15" s="226"/>
      <c r="J15" s="24"/>
    </row>
    <row r="16" spans="1:10" ht="20.100000000000001" customHeight="1" thickBot="1">
      <c r="A16" s="29"/>
      <c r="B16" s="30"/>
      <c r="C16" s="31" t="s">
        <v>186</v>
      </c>
      <c r="D16" s="30"/>
      <c r="E16" s="225">
        <f>0.15*1.29*2</f>
        <v>0.38700000000000001</v>
      </c>
      <c r="F16" s="33"/>
      <c r="G16" s="33"/>
      <c r="H16" s="27"/>
      <c r="I16" s="226"/>
      <c r="J16" s="24"/>
    </row>
    <row r="17" spans="1:10" ht="20.100000000000001" customHeight="1" thickBot="1">
      <c r="A17" s="64">
        <v>3</v>
      </c>
      <c r="B17" s="65">
        <v>968082017</v>
      </c>
      <c r="C17" s="66" t="s">
        <v>127</v>
      </c>
      <c r="D17" s="65" t="s">
        <v>109</v>
      </c>
      <c r="E17" s="67">
        <f>SUM(E18:E18)</f>
        <v>2.7143999999999995</v>
      </c>
      <c r="F17" s="68"/>
      <c r="G17" s="69">
        <f>ROUND(E17*F17,2)</f>
        <v>0</v>
      </c>
      <c r="H17" s="27">
        <v>5.0999999999999997E-2</v>
      </c>
      <c r="I17" s="226">
        <f>E17*H17</f>
        <v>0.13843439999999996</v>
      </c>
      <c r="J17" s="24"/>
    </row>
    <row r="18" spans="1:10" s="28" customFormat="1" ht="20.100000000000001" customHeight="1" thickBot="1">
      <c r="A18" s="70"/>
      <c r="B18" s="71"/>
      <c r="C18" s="31" t="s">
        <v>126</v>
      </c>
      <c r="D18" s="30"/>
      <c r="E18" s="225">
        <f>2.34*1.16</f>
        <v>2.7143999999999995</v>
      </c>
      <c r="F18" s="73"/>
      <c r="G18" s="73"/>
      <c r="H18" s="27"/>
      <c r="I18" s="226"/>
      <c r="J18" s="24"/>
    </row>
    <row r="19" spans="1:10" ht="20.100000000000001" customHeight="1" thickBot="1">
      <c r="A19" s="64">
        <v>4</v>
      </c>
      <c r="B19" s="65">
        <v>968082015</v>
      </c>
      <c r="C19" s="66" t="s">
        <v>128</v>
      </c>
      <c r="D19" s="65" t="s">
        <v>109</v>
      </c>
      <c r="E19" s="67">
        <f>SUM(E20:E20)</f>
        <v>0.99759999999999993</v>
      </c>
      <c r="F19" s="68"/>
      <c r="G19" s="69">
        <f>ROUND(E19*F19,2)</f>
        <v>0</v>
      </c>
      <c r="H19" s="27">
        <v>7.2999999999999995E-2</v>
      </c>
      <c r="I19" s="226">
        <f>E19*H19</f>
        <v>7.2824799999999995E-2</v>
      </c>
      <c r="J19" s="24"/>
    </row>
    <row r="20" spans="1:10" ht="20.100000000000001" customHeight="1" thickBot="1">
      <c r="A20" s="29"/>
      <c r="B20" s="30"/>
      <c r="C20" s="31" t="s">
        <v>129</v>
      </c>
      <c r="D20" s="30"/>
      <c r="E20" s="225">
        <f>0.86*1.16</f>
        <v>0.99759999999999993</v>
      </c>
      <c r="F20" s="33"/>
      <c r="G20" s="33"/>
      <c r="H20" s="27"/>
      <c r="I20" s="226"/>
      <c r="J20" s="24"/>
    </row>
    <row r="21" spans="1:10" ht="20.100000000000001" customHeight="1" thickBot="1">
      <c r="A21" s="64">
        <v>5</v>
      </c>
      <c r="B21" s="65">
        <v>764002811</v>
      </c>
      <c r="C21" s="66" t="s">
        <v>130</v>
      </c>
      <c r="D21" s="65" t="s">
        <v>0</v>
      </c>
      <c r="E21" s="67">
        <f>E22</f>
        <v>3.73</v>
      </c>
      <c r="F21" s="68"/>
      <c r="G21" s="69">
        <f>ROUND(E21*F21,2)</f>
        <v>0</v>
      </c>
      <c r="H21" s="27">
        <v>1.7700000000000001E-3</v>
      </c>
      <c r="I21" s="226">
        <f>E21*H21</f>
        <v>6.6021000000000005E-3</v>
      </c>
      <c r="J21" s="24"/>
    </row>
    <row r="22" spans="1:10" ht="20.100000000000001" customHeight="1" thickBot="1">
      <c r="A22" s="70"/>
      <c r="B22" s="71"/>
      <c r="C22" s="31">
        <v>3.73</v>
      </c>
      <c r="D22" s="30"/>
      <c r="E22" s="32">
        <v>3.73</v>
      </c>
      <c r="F22" s="33"/>
      <c r="G22" s="33"/>
      <c r="H22" s="27"/>
      <c r="I22" s="226"/>
      <c r="J22" s="24"/>
    </row>
    <row r="23" spans="1:10" ht="20.100000000000001" customHeight="1" thickBot="1">
      <c r="A23" s="64">
        <v>6</v>
      </c>
      <c r="B23" s="65">
        <v>764002841</v>
      </c>
      <c r="C23" s="66" t="s">
        <v>131</v>
      </c>
      <c r="D23" s="65" t="s">
        <v>0</v>
      </c>
      <c r="E23" s="67">
        <f>E24</f>
        <v>4.72</v>
      </c>
      <c r="F23" s="68"/>
      <c r="G23" s="69">
        <f>ROUND(E23*F23,2)</f>
        <v>0</v>
      </c>
      <c r="H23" s="27">
        <v>1.91E-3</v>
      </c>
      <c r="I23" s="226">
        <f>E23*H23</f>
        <v>9.0151999999999993E-3</v>
      </c>
      <c r="J23" s="24"/>
    </row>
    <row r="24" spans="1:10" ht="20.100000000000001" customHeight="1" thickBot="1">
      <c r="A24" s="29"/>
      <c r="B24" s="30"/>
      <c r="C24" s="31" t="s">
        <v>132</v>
      </c>
      <c r="D24" s="30"/>
      <c r="E24" s="32">
        <f>2.36+2.36</f>
        <v>4.72</v>
      </c>
      <c r="F24" s="33"/>
      <c r="G24" s="33"/>
      <c r="H24" s="24"/>
      <c r="I24" s="218"/>
      <c r="J24" s="24"/>
    </row>
    <row r="25" spans="1:10" ht="20.100000000000001" customHeight="1" thickBot="1">
      <c r="A25" s="64">
        <v>7</v>
      </c>
      <c r="B25" s="65">
        <v>764004801</v>
      </c>
      <c r="C25" s="66" t="s">
        <v>133</v>
      </c>
      <c r="D25" s="65" t="s">
        <v>0</v>
      </c>
      <c r="E25" s="67">
        <f>SUM(E26:E27)</f>
        <v>20.889999999999997</v>
      </c>
      <c r="F25" s="68"/>
      <c r="G25" s="69">
        <f>ROUND(E25*F25,2)</f>
        <v>0</v>
      </c>
      <c r="H25" s="27">
        <v>2.5999999999999999E-3</v>
      </c>
      <c r="I25" s="226">
        <f>E25*H25</f>
        <v>5.4313999999999987E-2</v>
      </c>
      <c r="J25" s="25"/>
    </row>
    <row r="26" spans="1:10" ht="20.100000000000001" customHeight="1">
      <c r="A26" s="78"/>
      <c r="B26" s="79"/>
      <c r="C26" s="57">
        <v>3.73</v>
      </c>
      <c r="D26" s="41"/>
      <c r="E26" s="43">
        <v>3.73</v>
      </c>
      <c r="F26" s="80"/>
      <c r="G26" s="80"/>
      <c r="H26" s="24"/>
      <c r="I26" s="218"/>
      <c r="J26" s="24"/>
    </row>
    <row r="27" spans="1:10" ht="20.100000000000001" customHeight="1" thickBot="1">
      <c r="A27" s="228"/>
      <c r="B27" s="229"/>
      <c r="C27" s="236" t="s">
        <v>386</v>
      </c>
      <c r="D27" s="235"/>
      <c r="E27" s="237">
        <f>6.1+9.91+1.15</f>
        <v>17.159999999999997</v>
      </c>
      <c r="F27" s="230"/>
      <c r="G27" s="230"/>
      <c r="H27" s="24"/>
      <c r="I27" s="218"/>
      <c r="J27" s="24"/>
    </row>
    <row r="28" spans="1:10" ht="20.100000000000001" customHeight="1" thickBot="1">
      <c r="A28" s="64">
        <v>8</v>
      </c>
      <c r="B28" s="65">
        <v>764004861</v>
      </c>
      <c r="C28" s="66" t="s">
        <v>134</v>
      </c>
      <c r="D28" s="65" t="s">
        <v>0</v>
      </c>
      <c r="E28" s="67">
        <f>E29</f>
        <v>22.8</v>
      </c>
      <c r="F28" s="68"/>
      <c r="G28" s="69">
        <f>ROUND(E28*F28,2)</f>
        <v>0</v>
      </c>
      <c r="H28" s="27">
        <v>3.9399999999999999E-3</v>
      </c>
      <c r="I28" s="226">
        <f>E28*H28</f>
        <v>8.9831999999999995E-2</v>
      </c>
      <c r="J28" s="24"/>
    </row>
    <row r="29" spans="1:10" ht="20.100000000000001" customHeight="1" thickBot="1">
      <c r="A29" s="29"/>
      <c r="B29" s="30"/>
      <c r="C29" s="31" t="s">
        <v>135</v>
      </c>
      <c r="D29" s="30"/>
      <c r="E29" s="38">
        <f>7.8+0.3+4.1+3.6+0.3+0.4+3.6+0.3+1.8+0.3+0.3</f>
        <v>22.8</v>
      </c>
      <c r="F29" s="33"/>
      <c r="G29" s="33"/>
      <c r="H29" s="24"/>
      <c r="I29" s="218"/>
      <c r="J29" s="24"/>
    </row>
    <row r="30" spans="1:10" ht="20.100000000000001" customHeight="1" thickBot="1">
      <c r="A30" s="64">
        <v>9</v>
      </c>
      <c r="B30" s="65">
        <v>764002871</v>
      </c>
      <c r="C30" s="66" t="s">
        <v>136</v>
      </c>
      <c r="D30" s="65" t="s">
        <v>0</v>
      </c>
      <c r="E30" s="67">
        <f>E31</f>
        <v>8.4499999999999993</v>
      </c>
      <c r="F30" s="68"/>
      <c r="G30" s="69">
        <f>ROUND(E30*F30,2)</f>
        <v>0</v>
      </c>
      <c r="H30" s="27">
        <v>1.75E-3</v>
      </c>
      <c r="I30" s="226">
        <f>E30*H30</f>
        <v>1.4787499999999999E-2</v>
      </c>
      <c r="J30" s="24"/>
    </row>
    <row r="31" spans="1:10" ht="20.100000000000001" customHeight="1" thickBot="1">
      <c r="A31" s="29"/>
      <c r="B31" s="30"/>
      <c r="C31" s="31" t="s">
        <v>137</v>
      </c>
      <c r="D31" s="30"/>
      <c r="E31" s="32">
        <f>3.73+2.36+2.36</f>
        <v>8.4499999999999993</v>
      </c>
      <c r="F31" s="33"/>
      <c r="G31" s="33"/>
      <c r="H31" s="27"/>
      <c r="I31" s="226"/>
      <c r="J31" s="24"/>
    </row>
    <row r="32" spans="1:10" ht="20.100000000000001" customHeight="1" thickBot="1">
      <c r="A32" s="64">
        <v>10</v>
      </c>
      <c r="B32" s="65">
        <v>764004803</v>
      </c>
      <c r="C32" s="66" t="s">
        <v>385</v>
      </c>
      <c r="D32" s="65" t="s">
        <v>0</v>
      </c>
      <c r="E32" s="67">
        <f>E33</f>
        <v>45.5</v>
      </c>
      <c r="F32" s="68"/>
      <c r="G32" s="69">
        <f>ROUND(E32*F32,2)</f>
        <v>0</v>
      </c>
      <c r="H32" s="27">
        <v>2.5999999999999999E-3</v>
      </c>
      <c r="I32" s="226">
        <f>E32*H32</f>
        <v>0.11829999999999999</v>
      </c>
      <c r="J32" s="24"/>
    </row>
    <row r="33" spans="1:10" ht="20.100000000000001" customHeight="1" thickBot="1">
      <c r="A33" s="29"/>
      <c r="B33" s="30"/>
      <c r="C33" s="31" t="s">
        <v>384</v>
      </c>
      <c r="D33" s="30"/>
      <c r="E33" s="32">
        <f>14+14+8.75+8.75</f>
        <v>45.5</v>
      </c>
      <c r="F33" s="33"/>
      <c r="G33" s="33"/>
      <c r="H33" s="27"/>
      <c r="I33" s="226"/>
      <c r="J33" s="24"/>
    </row>
    <row r="34" spans="1:10" ht="20.100000000000001" customHeight="1" thickBot="1">
      <c r="A34" s="64">
        <v>11</v>
      </c>
      <c r="B34" s="65">
        <v>712340832</v>
      </c>
      <c r="C34" s="66" t="s">
        <v>138</v>
      </c>
      <c r="D34" s="65" t="s">
        <v>109</v>
      </c>
      <c r="E34" s="67">
        <f>E35</f>
        <v>9.5107999999999997</v>
      </c>
      <c r="F34" s="68"/>
      <c r="G34" s="69">
        <f>ROUND(E34*F34,2)</f>
        <v>0</v>
      </c>
      <c r="H34" s="27">
        <v>1.0999999999999999E-2</v>
      </c>
      <c r="I34" s="226">
        <f>E34*H34</f>
        <v>0.10461879999999998</v>
      </c>
      <c r="J34" s="24"/>
    </row>
    <row r="35" spans="1:10" ht="20.100000000000001" customHeight="1" thickBot="1">
      <c r="A35" s="70"/>
      <c r="B35" s="71"/>
      <c r="C35" s="31" t="s">
        <v>139</v>
      </c>
      <c r="D35" s="30"/>
      <c r="E35" s="32">
        <f>2.36*4.03</f>
        <v>9.5107999999999997</v>
      </c>
      <c r="F35" s="33"/>
      <c r="G35" s="33"/>
      <c r="H35" s="27"/>
      <c r="I35" s="226"/>
      <c r="J35" s="24"/>
    </row>
    <row r="36" spans="1:10" ht="20.100000000000001" customHeight="1" thickBot="1">
      <c r="A36" s="64">
        <v>12</v>
      </c>
      <c r="B36" s="65">
        <v>751792804</v>
      </c>
      <c r="C36" s="75" t="s">
        <v>140</v>
      </c>
      <c r="D36" s="76" t="s">
        <v>143</v>
      </c>
      <c r="E36" s="67">
        <v>1</v>
      </c>
      <c r="F36" s="68"/>
      <c r="G36" s="69">
        <f>ROUND(E36*F36,2)</f>
        <v>0</v>
      </c>
      <c r="H36" s="27"/>
      <c r="I36" s="226"/>
      <c r="J36" s="24"/>
    </row>
    <row r="37" spans="1:10" ht="20.100000000000001" customHeight="1" thickBot="1">
      <c r="A37" s="70"/>
      <c r="B37" s="71"/>
      <c r="C37" s="25"/>
      <c r="D37" s="71"/>
      <c r="E37" s="72"/>
      <c r="F37" s="73"/>
      <c r="G37" s="73"/>
      <c r="H37" s="27"/>
      <c r="I37" s="226"/>
      <c r="J37" s="24"/>
    </row>
    <row r="38" spans="1:10" ht="20.100000000000001" customHeight="1" thickBot="1">
      <c r="A38" s="64">
        <v>13</v>
      </c>
      <c r="B38" s="65">
        <v>751721823</v>
      </c>
      <c r="C38" s="66" t="s">
        <v>141</v>
      </c>
      <c r="D38" s="65" t="s">
        <v>142</v>
      </c>
      <c r="E38" s="67">
        <v>1</v>
      </c>
      <c r="F38" s="68"/>
      <c r="G38" s="69">
        <f>ROUND(E38*F38,2)</f>
        <v>0</v>
      </c>
      <c r="H38" s="27"/>
      <c r="I38" s="226"/>
      <c r="J38" s="24"/>
    </row>
    <row r="39" spans="1:10" ht="20.100000000000001" customHeight="1" thickBot="1">
      <c r="A39" s="70"/>
      <c r="B39" s="71"/>
      <c r="C39" s="25"/>
      <c r="D39" s="71"/>
      <c r="E39" s="72"/>
      <c r="F39" s="77"/>
      <c r="G39" s="73"/>
      <c r="H39" s="27"/>
      <c r="I39" s="226"/>
      <c r="J39" s="24"/>
    </row>
    <row r="40" spans="1:10" ht="20.100000000000001" customHeight="1" thickBot="1">
      <c r="A40" s="64">
        <v>14</v>
      </c>
      <c r="B40" s="65">
        <v>741421811</v>
      </c>
      <c r="C40" s="66" t="s">
        <v>154</v>
      </c>
      <c r="D40" s="65" t="s">
        <v>115</v>
      </c>
      <c r="E40" s="67">
        <f>E41</f>
        <v>16</v>
      </c>
      <c r="F40" s="68"/>
      <c r="G40" s="69">
        <f>ROUND(E40*F40,2)</f>
        <v>0</v>
      </c>
      <c r="H40" s="27">
        <v>6.2E-4</v>
      </c>
      <c r="I40" s="226">
        <f>E40*H40</f>
        <v>9.92E-3</v>
      </c>
      <c r="J40" s="24"/>
    </row>
    <row r="41" spans="1:10" ht="20.100000000000001" customHeight="1" thickBot="1">
      <c r="A41" s="70"/>
      <c r="B41" s="71"/>
      <c r="C41" s="31" t="s">
        <v>144</v>
      </c>
      <c r="D41" s="30"/>
      <c r="E41" s="32">
        <f>7.5+8.5</f>
        <v>16</v>
      </c>
      <c r="F41" s="39"/>
      <c r="G41" s="33"/>
      <c r="H41" s="27"/>
      <c r="I41" s="226"/>
      <c r="J41" s="24"/>
    </row>
    <row r="42" spans="1:10" ht="20.100000000000001" customHeight="1" thickBot="1">
      <c r="A42" s="64">
        <v>15</v>
      </c>
      <c r="B42" s="65">
        <v>767812812</v>
      </c>
      <c r="C42" s="66" t="s">
        <v>145</v>
      </c>
      <c r="D42" s="65" t="s">
        <v>143</v>
      </c>
      <c r="E42" s="67">
        <v>1</v>
      </c>
      <c r="F42" s="68"/>
      <c r="G42" s="69">
        <f>ROUND(E42*F42,2)</f>
        <v>0</v>
      </c>
      <c r="H42" s="27">
        <v>0.02</v>
      </c>
      <c r="I42" s="226">
        <f>E42*H42</f>
        <v>0.02</v>
      </c>
      <c r="J42" s="24"/>
    </row>
    <row r="43" spans="1:10" ht="20.100000000000001" customHeight="1" thickBot="1">
      <c r="A43" s="70"/>
      <c r="B43" s="71"/>
      <c r="C43" s="25"/>
      <c r="D43" s="71"/>
      <c r="E43" s="72"/>
      <c r="F43" s="77"/>
      <c r="G43" s="73"/>
      <c r="H43" s="27"/>
      <c r="I43" s="226"/>
      <c r="J43" s="24"/>
    </row>
    <row r="44" spans="1:10" ht="20.100000000000001" customHeight="1" thickBot="1">
      <c r="A44" s="64">
        <v>16</v>
      </c>
      <c r="B44" s="65" t="s">
        <v>146</v>
      </c>
      <c r="C44" s="66" t="s">
        <v>147</v>
      </c>
      <c r="D44" s="65" t="s">
        <v>143</v>
      </c>
      <c r="E44" s="67">
        <f>6+4+3</f>
        <v>13</v>
      </c>
      <c r="F44" s="68"/>
      <c r="G44" s="69">
        <f>ROUND(E44*F44,2)</f>
        <v>0</v>
      </c>
      <c r="H44" s="27">
        <v>0.01</v>
      </c>
      <c r="I44" s="226">
        <f>E44*H44</f>
        <v>0.13</v>
      </c>
      <c r="J44" s="24"/>
    </row>
    <row r="45" spans="1:10" ht="20.100000000000001" customHeight="1" thickBot="1">
      <c r="A45" s="70"/>
      <c r="B45" s="71"/>
      <c r="C45" s="25"/>
      <c r="D45" s="71"/>
      <c r="E45" s="72"/>
      <c r="F45" s="73"/>
      <c r="G45" s="73"/>
      <c r="H45" s="27"/>
      <c r="I45" s="226"/>
      <c r="J45" s="24"/>
    </row>
    <row r="46" spans="1:10" ht="20.100000000000001" customHeight="1" thickBot="1">
      <c r="A46" s="64">
        <v>17</v>
      </c>
      <c r="B46" s="65" t="s">
        <v>146</v>
      </c>
      <c r="C46" s="66" t="s">
        <v>148</v>
      </c>
      <c r="D46" s="65" t="s">
        <v>143</v>
      </c>
      <c r="E46" s="67">
        <v>1</v>
      </c>
      <c r="F46" s="68"/>
      <c r="G46" s="69">
        <f>ROUND(E46*F46,2)</f>
        <v>0</v>
      </c>
      <c r="H46" s="27">
        <v>0.02</v>
      </c>
      <c r="I46" s="226">
        <f>E46*H46</f>
        <v>0.02</v>
      </c>
      <c r="J46" s="24"/>
    </row>
    <row r="47" spans="1:10" ht="20.100000000000001" customHeight="1" thickBot="1">
      <c r="A47" s="213"/>
      <c r="B47" s="214"/>
      <c r="C47" s="215"/>
      <c r="D47" s="214"/>
      <c r="E47" s="216"/>
      <c r="F47" s="217"/>
      <c r="G47" s="217"/>
      <c r="H47" s="27"/>
      <c r="I47" s="226"/>
      <c r="J47" s="24"/>
    </row>
    <row r="48" spans="1:10" ht="20.100000000000001" customHeight="1" thickBot="1">
      <c r="A48" s="64">
        <v>18</v>
      </c>
      <c r="B48" s="65">
        <v>767893816</v>
      </c>
      <c r="C48" s="66" t="s">
        <v>149</v>
      </c>
      <c r="D48" s="65" t="s">
        <v>150</v>
      </c>
      <c r="E48" s="67">
        <f>E49</f>
        <v>1.25</v>
      </c>
      <c r="F48" s="68"/>
      <c r="G48" s="69">
        <f>ROUND(E48*F48,2)</f>
        <v>0</v>
      </c>
      <c r="H48" s="27">
        <v>0.03</v>
      </c>
      <c r="I48" s="226">
        <f>E48*H48</f>
        <v>3.7499999999999999E-2</v>
      </c>
      <c r="J48" s="24"/>
    </row>
    <row r="49" spans="1:10" ht="20.100000000000001" customHeight="1" thickBot="1">
      <c r="A49" s="219"/>
      <c r="B49" s="220"/>
      <c r="C49" s="221" t="s">
        <v>187</v>
      </c>
      <c r="D49" s="220"/>
      <c r="E49" s="231">
        <f>1.25</f>
        <v>1.25</v>
      </c>
      <c r="F49" s="223"/>
      <c r="G49" s="223"/>
      <c r="H49" s="27"/>
      <c r="I49" s="226"/>
      <c r="J49" s="24"/>
    </row>
    <row r="50" spans="1:10" ht="20.100000000000001" customHeight="1" thickBot="1">
      <c r="A50" s="64">
        <v>19</v>
      </c>
      <c r="B50" s="65" t="s">
        <v>146</v>
      </c>
      <c r="C50" s="66" t="s">
        <v>151</v>
      </c>
      <c r="D50" s="65" t="s">
        <v>143</v>
      </c>
      <c r="E50" s="67">
        <v>6</v>
      </c>
      <c r="F50" s="68"/>
      <c r="G50" s="69">
        <f>ROUND(E50*F50,2)</f>
        <v>0</v>
      </c>
      <c r="H50" s="27"/>
      <c r="I50" s="226"/>
      <c r="J50" s="24"/>
    </row>
    <row r="51" spans="1:10" ht="20.100000000000001" customHeight="1" thickBot="1">
      <c r="A51" s="213"/>
      <c r="B51" s="214"/>
      <c r="C51" s="215"/>
      <c r="D51" s="214"/>
      <c r="E51" s="216"/>
      <c r="F51" s="217"/>
      <c r="G51" s="217"/>
      <c r="H51" s="27"/>
      <c r="I51" s="226"/>
      <c r="J51" s="24"/>
    </row>
    <row r="52" spans="1:10" ht="20.100000000000001" customHeight="1" thickBot="1">
      <c r="A52" s="64">
        <v>20</v>
      </c>
      <c r="B52" s="65">
        <v>767661811</v>
      </c>
      <c r="C52" s="66" t="s">
        <v>152</v>
      </c>
      <c r="D52" s="65" t="s">
        <v>109</v>
      </c>
      <c r="E52" s="67">
        <f>E53</f>
        <v>3.3102000000000005</v>
      </c>
      <c r="F52" s="68"/>
      <c r="G52" s="69">
        <f>ROUND(E52*F52,2)</f>
        <v>0</v>
      </c>
      <c r="H52" s="27"/>
      <c r="I52" s="226"/>
      <c r="J52" s="24"/>
    </row>
    <row r="53" spans="1:10" ht="20.100000000000001" customHeight="1" thickBot="1">
      <c r="A53" s="78"/>
      <c r="B53" s="79"/>
      <c r="C53" s="57" t="s">
        <v>153</v>
      </c>
      <c r="D53" s="41"/>
      <c r="E53" s="43">
        <f>1.08*1.12*2+0.81*1.1</f>
        <v>3.3102000000000005</v>
      </c>
      <c r="F53" s="44"/>
      <c r="G53" s="44"/>
      <c r="H53" s="27"/>
      <c r="I53" s="226"/>
      <c r="J53" s="24"/>
    </row>
    <row r="54" spans="1:10" ht="20.100000000000001" customHeight="1" thickBot="1">
      <c r="A54" s="64">
        <v>21</v>
      </c>
      <c r="B54" s="65">
        <v>971033651</v>
      </c>
      <c r="C54" s="66" t="s">
        <v>155</v>
      </c>
      <c r="D54" s="65" t="s">
        <v>119</v>
      </c>
      <c r="E54" s="67">
        <f>E55</f>
        <v>1.1340000000000001</v>
      </c>
      <c r="F54" s="68"/>
      <c r="G54" s="69">
        <f>ROUND(E54*F54,2)</f>
        <v>0</v>
      </c>
      <c r="H54" s="27">
        <v>1.8</v>
      </c>
      <c r="I54" s="226">
        <f>E54*H54</f>
        <v>2.0412000000000003</v>
      </c>
      <c r="J54" s="24"/>
    </row>
    <row r="55" spans="1:10" ht="20.100000000000001" customHeight="1" thickBot="1">
      <c r="A55" s="213"/>
      <c r="B55" s="214"/>
      <c r="C55" s="221" t="s">
        <v>156</v>
      </c>
      <c r="D55" s="220"/>
      <c r="E55" s="231">
        <f>1.4*1.8*0.45</f>
        <v>1.1340000000000001</v>
      </c>
      <c r="F55" s="223"/>
      <c r="G55" s="223"/>
      <c r="H55" s="27"/>
      <c r="I55" s="226"/>
      <c r="J55" s="24"/>
    </row>
    <row r="56" spans="1:10" ht="20.100000000000001" customHeight="1" thickBot="1">
      <c r="A56" s="64">
        <v>22</v>
      </c>
      <c r="B56" s="65">
        <v>764002851</v>
      </c>
      <c r="C56" s="66" t="s">
        <v>157</v>
      </c>
      <c r="D56" s="65" t="s">
        <v>115</v>
      </c>
      <c r="E56" s="67">
        <f>SUM(E57:E58)</f>
        <v>9.9600000000000009</v>
      </c>
      <c r="F56" s="68"/>
      <c r="G56" s="69">
        <f>ROUND(E56*F56,2)</f>
        <v>0</v>
      </c>
      <c r="H56" s="27">
        <v>1.67E-3</v>
      </c>
      <c r="I56" s="226">
        <f>E56*H56</f>
        <v>1.6633200000000001E-2</v>
      </c>
      <c r="J56" s="24"/>
    </row>
    <row r="57" spans="1:10" ht="20.100000000000001" customHeight="1">
      <c r="A57" s="213"/>
      <c r="B57" s="220" t="s">
        <v>117</v>
      </c>
      <c r="C57" s="221" t="s">
        <v>158</v>
      </c>
      <c r="D57" s="220"/>
      <c r="E57" s="231">
        <f>3.78+2.12+0.82+0.82+0.82</f>
        <v>8.3600000000000012</v>
      </c>
      <c r="F57" s="223"/>
      <c r="G57" s="223"/>
      <c r="H57" s="27"/>
      <c r="I57" s="226"/>
      <c r="J57" s="24"/>
    </row>
    <row r="58" spans="1:10" ht="20.100000000000001" customHeight="1" thickBot="1">
      <c r="A58" s="213"/>
      <c r="B58" s="220" t="s">
        <v>118</v>
      </c>
      <c r="C58" s="221" t="s">
        <v>159</v>
      </c>
      <c r="D58" s="220"/>
      <c r="E58" s="231">
        <f>0.8+0.8</f>
        <v>1.6</v>
      </c>
      <c r="F58" s="223"/>
      <c r="G58" s="223"/>
      <c r="H58" s="27"/>
      <c r="I58" s="226"/>
      <c r="J58" s="24"/>
    </row>
    <row r="59" spans="1:10" ht="20.100000000000001" customHeight="1" thickBot="1">
      <c r="A59" s="64">
        <v>23</v>
      </c>
      <c r="B59" s="65">
        <v>978015391</v>
      </c>
      <c r="C59" s="66" t="s">
        <v>160</v>
      </c>
      <c r="D59" s="65" t="s">
        <v>109</v>
      </c>
      <c r="E59" s="67">
        <f>E60</f>
        <v>3.2454000000000001</v>
      </c>
      <c r="F59" s="68"/>
      <c r="G59" s="69">
        <f>ROUND(E59*F59,2)</f>
        <v>0</v>
      </c>
      <c r="H59" s="27">
        <v>5.8999999999999997E-2</v>
      </c>
      <c r="I59" s="226">
        <f>E59*H59</f>
        <v>0.1914786</v>
      </c>
      <c r="J59" s="24"/>
    </row>
    <row r="60" spans="1:10" ht="20.100000000000001" customHeight="1" thickBot="1">
      <c r="A60" s="213"/>
      <c r="B60" s="214"/>
      <c r="C60" s="221" t="s">
        <v>161</v>
      </c>
      <c r="D60" s="214"/>
      <c r="E60" s="216">
        <f>2.7*1.65-(1.08*1.12)</f>
        <v>3.2454000000000001</v>
      </c>
      <c r="F60" s="217"/>
      <c r="G60" s="217"/>
      <c r="H60" s="27"/>
      <c r="I60" s="226"/>
      <c r="J60" s="24"/>
    </row>
    <row r="61" spans="1:10" ht="20.100000000000001" customHeight="1" thickBot="1">
      <c r="A61" s="64">
        <v>24</v>
      </c>
      <c r="B61" s="65">
        <v>978036191</v>
      </c>
      <c r="C61" s="66" t="s">
        <v>162</v>
      </c>
      <c r="D61" s="65" t="s">
        <v>109</v>
      </c>
      <c r="E61" s="67">
        <f>SUM(E62:E64)</f>
        <v>25.689000000000004</v>
      </c>
      <c r="F61" s="68"/>
      <c r="G61" s="69">
        <f>ROUND(E61*F61,2)</f>
        <v>0</v>
      </c>
      <c r="H61" s="27">
        <v>0.05</v>
      </c>
      <c r="I61" s="226">
        <f>E61*H61</f>
        <v>1.2844500000000003</v>
      </c>
      <c r="J61" s="24"/>
    </row>
    <row r="62" spans="1:10" ht="20.100000000000001" customHeight="1">
      <c r="A62" s="219"/>
      <c r="B62" s="220"/>
      <c r="C62" s="221" t="s">
        <v>164</v>
      </c>
      <c r="D62" s="220"/>
      <c r="E62" s="231">
        <f>1.1*(5.7+5.74+3.03)</f>
        <v>15.917000000000002</v>
      </c>
      <c r="F62" s="223"/>
      <c r="G62" s="223"/>
      <c r="H62" s="27"/>
      <c r="I62" s="226"/>
      <c r="J62" s="24"/>
    </row>
    <row r="63" spans="1:10" ht="20.100000000000001" customHeight="1">
      <c r="A63" s="219"/>
      <c r="B63" s="220"/>
      <c r="C63" s="224" t="s">
        <v>163</v>
      </c>
      <c r="D63" s="220"/>
      <c r="E63" s="231">
        <f>(0.6*0.6+0.4*0.6+0.4*0.6+1.3*0.5+0.6*0.7)*-1</f>
        <v>-1.91</v>
      </c>
      <c r="F63" s="223"/>
      <c r="G63" s="223"/>
      <c r="H63" s="27"/>
      <c r="I63" s="226"/>
      <c r="J63" s="24"/>
    </row>
    <row r="64" spans="1:10" ht="20.100000000000001" customHeight="1" thickBot="1">
      <c r="A64" s="219"/>
      <c r="B64" s="220"/>
      <c r="C64" s="224" t="s">
        <v>165</v>
      </c>
      <c r="D64" s="220"/>
      <c r="E64" s="231">
        <f>1.1*(5.07+5.55)</f>
        <v>11.682000000000002</v>
      </c>
      <c r="F64" s="223"/>
      <c r="G64" s="223"/>
      <c r="H64" s="27"/>
      <c r="I64" s="226"/>
      <c r="J64" s="24"/>
    </row>
    <row r="65" spans="1:10" ht="20.100000000000001" customHeight="1" thickBot="1">
      <c r="A65" s="64">
        <v>25</v>
      </c>
      <c r="B65" s="65">
        <v>978023411</v>
      </c>
      <c r="C65" s="66" t="s">
        <v>166</v>
      </c>
      <c r="D65" s="65" t="s">
        <v>109</v>
      </c>
      <c r="E65" s="67">
        <f>E61</f>
        <v>25.689000000000004</v>
      </c>
      <c r="F65" s="68"/>
      <c r="G65" s="69">
        <f>ROUND(E65*F65,2)</f>
        <v>0</v>
      </c>
      <c r="H65" s="27">
        <v>1.4E-2</v>
      </c>
      <c r="I65" s="226">
        <f>E65*H65</f>
        <v>0.35964600000000008</v>
      </c>
      <c r="J65" s="24"/>
    </row>
    <row r="66" spans="1:10" ht="20.100000000000001" customHeight="1" thickBot="1">
      <c r="A66" s="219"/>
      <c r="B66" s="220"/>
      <c r="C66" s="224"/>
      <c r="D66" s="220"/>
      <c r="E66" s="231"/>
      <c r="F66" s="223"/>
      <c r="G66" s="223"/>
      <c r="H66" s="27"/>
      <c r="I66" s="226"/>
      <c r="J66" s="24"/>
    </row>
    <row r="67" spans="1:10" ht="20.100000000000001" customHeight="1" thickBot="1">
      <c r="A67" s="64">
        <v>26</v>
      </c>
      <c r="B67" s="65">
        <v>978036131</v>
      </c>
      <c r="C67" s="66" t="s">
        <v>168</v>
      </c>
      <c r="D67" s="65" t="s">
        <v>109</v>
      </c>
      <c r="E67" s="233">
        <f>SUM(E68:E80)</f>
        <v>272.51070000000004</v>
      </c>
      <c r="F67" s="68"/>
      <c r="G67" s="69">
        <f>ROUND(E67*F67,2)</f>
        <v>0</v>
      </c>
      <c r="H67" s="27">
        <v>0.01</v>
      </c>
      <c r="I67" s="226">
        <f>E67*H67</f>
        <v>2.7251070000000004</v>
      </c>
      <c r="J67" s="24"/>
    </row>
    <row r="68" spans="1:10" ht="20.100000000000001" customHeight="1">
      <c r="A68" s="40"/>
      <c r="B68" s="41"/>
      <c r="C68" s="57" t="s">
        <v>170</v>
      </c>
      <c r="D68" s="41"/>
      <c r="E68" s="238">
        <f>13.13*5.45-(1.22*1.3+1.25*1.3+1.35*0.98+1*1.23+1*1.23)</f>
        <v>64.56450000000001</v>
      </c>
      <c r="F68" s="44"/>
      <c r="G68" s="44"/>
      <c r="H68" s="27"/>
      <c r="I68" s="226"/>
      <c r="J68" s="24"/>
    </row>
    <row r="69" spans="1:10" ht="20.100000000000001" customHeight="1">
      <c r="A69" s="219"/>
      <c r="B69" s="220"/>
      <c r="C69" s="221" t="s">
        <v>169</v>
      </c>
      <c r="D69" s="220"/>
      <c r="E69" s="222">
        <f>3.03*2.35</f>
        <v>7.1204999999999998</v>
      </c>
      <c r="F69" s="223"/>
      <c r="G69" s="223"/>
      <c r="H69" s="27"/>
      <c r="I69" s="226"/>
      <c r="J69" s="24"/>
    </row>
    <row r="70" spans="1:10" ht="20.100000000000001" customHeight="1">
      <c r="A70" s="219"/>
      <c r="B70" s="220"/>
      <c r="C70" s="221" t="s">
        <v>171</v>
      </c>
      <c r="D70" s="220"/>
      <c r="E70" s="222">
        <f>7.87*6.55-(1.4*1.8+1*1.24+1*1.24)</f>
        <v>46.548499999999997</v>
      </c>
      <c r="F70" s="223"/>
      <c r="G70" s="223"/>
      <c r="H70" s="27"/>
      <c r="I70" s="226"/>
      <c r="J70" s="24"/>
    </row>
    <row r="71" spans="1:10" ht="20.100000000000001" customHeight="1">
      <c r="A71" s="219"/>
      <c r="B71" s="220"/>
      <c r="C71" s="221" t="s">
        <v>174</v>
      </c>
      <c r="D71" s="220"/>
      <c r="E71" s="222">
        <f>2.75*3.45-(0.8*0.15)</f>
        <v>9.3675000000000015</v>
      </c>
      <c r="F71" s="223"/>
      <c r="G71" s="223"/>
      <c r="H71" s="27"/>
      <c r="I71" s="226"/>
      <c r="J71" s="24"/>
    </row>
    <row r="72" spans="1:10" ht="20.100000000000001" customHeight="1">
      <c r="A72" s="219"/>
      <c r="B72" s="220"/>
      <c r="C72" s="221" t="s">
        <v>177</v>
      </c>
      <c r="D72" s="220"/>
      <c r="E72" s="222">
        <f>6.95*6.55-(2.9*1.82+1.21*1.54+1*1.21+1*1.21)</f>
        <v>35.961100000000002</v>
      </c>
      <c r="F72" s="223"/>
      <c r="G72" s="223"/>
      <c r="H72" s="27"/>
      <c r="I72" s="226"/>
      <c r="J72" s="24"/>
    </row>
    <row r="73" spans="1:10" ht="20.100000000000001" customHeight="1">
      <c r="A73" s="219"/>
      <c r="B73" s="220"/>
      <c r="C73" s="221" t="s">
        <v>172</v>
      </c>
      <c r="D73" s="220"/>
      <c r="E73" s="222">
        <f>9.21*3.45-(1.16*1.76+1.17*1.85+1.16*1.85)</f>
        <v>25.422400000000003</v>
      </c>
      <c r="F73" s="223"/>
      <c r="G73" s="223"/>
      <c r="H73" s="27"/>
      <c r="I73" s="226"/>
      <c r="J73" s="24"/>
    </row>
    <row r="74" spans="1:10" ht="20.100000000000001" customHeight="1">
      <c r="A74" s="219"/>
      <c r="B74" s="220"/>
      <c r="C74" s="221" t="s">
        <v>173</v>
      </c>
      <c r="D74" s="220"/>
      <c r="E74" s="222">
        <f>6.18*3.1-(1*1.25+1*2.02)</f>
        <v>15.888000000000002</v>
      </c>
      <c r="F74" s="223"/>
      <c r="G74" s="223"/>
      <c r="H74" s="27"/>
      <c r="I74" s="226"/>
      <c r="J74" s="24"/>
    </row>
    <row r="75" spans="1:10" ht="20.100000000000001" customHeight="1">
      <c r="A75" s="219"/>
      <c r="B75" s="220"/>
      <c r="C75" s="221" t="s">
        <v>178</v>
      </c>
      <c r="D75" s="220"/>
      <c r="E75" s="222">
        <f>5.55*2.35</f>
        <v>13.0425</v>
      </c>
      <c r="F75" s="223"/>
      <c r="G75" s="223"/>
      <c r="H75" s="27"/>
      <c r="I75" s="226"/>
      <c r="J75" s="24"/>
    </row>
    <row r="76" spans="1:10" ht="20.100000000000001" customHeight="1">
      <c r="A76" s="219"/>
      <c r="B76" s="220"/>
      <c r="C76" s="221" t="s">
        <v>175</v>
      </c>
      <c r="D76" s="220"/>
      <c r="E76" s="222">
        <f>5.07*5.45-(0.82*1.18+0.82*1.18+0.82*1.18+0.8*1.08+0.8*1.08)</f>
        <v>23.000700000000002</v>
      </c>
      <c r="F76" s="223"/>
      <c r="G76" s="223"/>
      <c r="H76" s="27"/>
      <c r="I76" s="226"/>
      <c r="J76" s="24"/>
    </row>
    <row r="77" spans="1:10" ht="20.100000000000001" customHeight="1">
      <c r="A77" s="219"/>
      <c r="B77" s="220"/>
      <c r="C77" s="221" t="s">
        <v>176</v>
      </c>
      <c r="D77" s="220"/>
      <c r="E77" s="222">
        <f>2.8*3.1</f>
        <v>8.68</v>
      </c>
      <c r="F77" s="223"/>
      <c r="G77" s="223"/>
      <c r="H77" s="27"/>
      <c r="I77" s="226"/>
      <c r="J77" s="24"/>
    </row>
    <row r="78" spans="1:10" ht="20.100000000000001" customHeight="1">
      <c r="A78" s="219"/>
      <c r="B78" s="220"/>
      <c r="C78" s="224" t="s">
        <v>179</v>
      </c>
      <c r="D78" s="220"/>
      <c r="E78" s="234">
        <f>-3.245</f>
        <v>-3.2450000000000001</v>
      </c>
      <c r="F78" s="223"/>
      <c r="G78" s="223"/>
      <c r="H78" s="27"/>
      <c r="I78" s="226"/>
      <c r="J78" s="24"/>
    </row>
    <row r="79" spans="1:10" ht="20.100000000000001" customHeight="1">
      <c r="A79" s="219"/>
      <c r="B79" s="220"/>
      <c r="C79" s="224" t="s">
        <v>300</v>
      </c>
      <c r="D79" s="220"/>
      <c r="E79" s="234">
        <f>0.4*(13.93+13.93+7.87+7.87)</f>
        <v>17.439999999999998</v>
      </c>
      <c r="F79" s="223"/>
      <c r="G79" s="223"/>
      <c r="H79" s="27"/>
      <c r="I79" s="226"/>
      <c r="J79" s="24"/>
    </row>
    <row r="80" spans="1:10" ht="20.100000000000001" customHeight="1" thickBot="1">
      <c r="A80" s="219"/>
      <c r="B80" s="220"/>
      <c r="C80" s="224" t="s">
        <v>301</v>
      </c>
      <c r="D80" s="220"/>
      <c r="E80" s="234">
        <f>0.2*(13.93+13.93+7.87+7.87)</f>
        <v>8.7199999999999989</v>
      </c>
      <c r="F80" s="223"/>
      <c r="G80" s="223"/>
      <c r="H80" s="27"/>
      <c r="I80" s="226"/>
      <c r="J80" s="24"/>
    </row>
    <row r="81" spans="1:10" ht="20.100000000000001" customHeight="1" thickBot="1">
      <c r="A81" s="64">
        <v>27</v>
      </c>
      <c r="B81" s="65">
        <v>762751820</v>
      </c>
      <c r="C81" s="66" t="s">
        <v>180</v>
      </c>
      <c r="D81" s="65" t="s">
        <v>0</v>
      </c>
      <c r="E81" s="233">
        <f>E82</f>
        <v>5.9</v>
      </c>
      <c r="F81" s="68"/>
      <c r="G81" s="69">
        <f>ROUND(E81*F81,2)</f>
        <v>0</v>
      </c>
      <c r="H81" s="27">
        <v>0.01</v>
      </c>
      <c r="I81" s="226">
        <f>E81*H81</f>
        <v>5.9000000000000004E-2</v>
      </c>
      <c r="J81" s="24"/>
    </row>
    <row r="82" spans="1:10" ht="20.100000000000001" customHeight="1" thickBot="1">
      <c r="A82" s="219"/>
      <c r="B82" s="220"/>
      <c r="C82" s="221" t="s">
        <v>183</v>
      </c>
      <c r="D82" s="220"/>
      <c r="E82" s="234">
        <f>2.95*2</f>
        <v>5.9</v>
      </c>
      <c r="F82" s="223"/>
      <c r="G82" s="223"/>
      <c r="H82" s="27"/>
      <c r="I82" s="226"/>
      <c r="J82" s="24"/>
    </row>
    <row r="83" spans="1:10" ht="20.100000000000001" customHeight="1" thickBot="1">
      <c r="A83" s="64">
        <v>28</v>
      </c>
      <c r="B83" s="65">
        <v>962031133</v>
      </c>
      <c r="C83" s="66" t="s">
        <v>181</v>
      </c>
      <c r="D83" s="65" t="s">
        <v>109</v>
      </c>
      <c r="E83" s="233">
        <f>E84</f>
        <v>6.4900000000000011</v>
      </c>
      <c r="F83" s="68"/>
      <c r="G83" s="69">
        <f>ROUND(E83*F83,2)</f>
        <v>0</v>
      </c>
      <c r="H83" s="27">
        <v>0.26100000000000001</v>
      </c>
      <c r="I83" s="226">
        <f>E83*H83</f>
        <v>1.6938900000000003</v>
      </c>
      <c r="J83" s="24"/>
    </row>
    <row r="84" spans="1:10" ht="20.100000000000001" customHeight="1" thickBot="1">
      <c r="A84" s="219"/>
      <c r="B84" s="220"/>
      <c r="C84" s="221" t="s">
        <v>184</v>
      </c>
      <c r="D84" s="220"/>
      <c r="E84" s="234">
        <f>1.1*2.95*2</f>
        <v>6.4900000000000011</v>
      </c>
      <c r="F84" s="223"/>
      <c r="G84" s="223"/>
      <c r="H84" s="27"/>
      <c r="I84" s="226"/>
      <c r="J84" s="24"/>
    </row>
    <row r="85" spans="1:10" ht="20.100000000000001" customHeight="1" thickBot="1">
      <c r="A85" s="64">
        <v>29</v>
      </c>
      <c r="B85" s="65">
        <v>751398832</v>
      </c>
      <c r="C85" s="66" t="s">
        <v>188</v>
      </c>
      <c r="D85" s="65" t="s">
        <v>143</v>
      </c>
      <c r="E85" s="233">
        <v>3</v>
      </c>
      <c r="F85" s="68"/>
      <c r="G85" s="69">
        <f>ROUND(E85*F85,2)</f>
        <v>0</v>
      </c>
      <c r="H85" s="27">
        <v>1E-4</v>
      </c>
      <c r="I85" s="226">
        <f>E85*H85</f>
        <v>3.0000000000000003E-4</v>
      </c>
      <c r="J85" s="24"/>
    </row>
    <row r="86" spans="1:10" ht="20.100000000000001" customHeight="1" thickBot="1">
      <c r="A86" s="213"/>
      <c r="B86" s="214"/>
      <c r="C86" s="215"/>
      <c r="D86" s="214"/>
      <c r="E86" s="232"/>
      <c r="F86" s="217"/>
      <c r="G86" s="217"/>
      <c r="H86" s="27"/>
      <c r="I86" s="226"/>
      <c r="J86" s="24"/>
    </row>
    <row r="87" spans="1:10" ht="20.100000000000001" customHeight="1" thickBot="1">
      <c r="A87" s="64">
        <v>30</v>
      </c>
      <c r="B87" s="65">
        <v>966054121</v>
      </c>
      <c r="C87" s="66" t="s">
        <v>189</v>
      </c>
      <c r="D87" s="65" t="s">
        <v>150</v>
      </c>
      <c r="E87" s="233">
        <f>E88</f>
        <v>2.6399999999999997</v>
      </c>
      <c r="F87" s="68"/>
      <c r="G87" s="69">
        <f>ROUND(E87*F87,2)</f>
        <v>0</v>
      </c>
      <c r="H87" s="27">
        <v>0.108</v>
      </c>
      <c r="I87" s="226">
        <f>E87*H87</f>
        <v>0.28511999999999998</v>
      </c>
      <c r="J87" s="24"/>
    </row>
    <row r="88" spans="1:10" ht="20.100000000000001" customHeight="1" thickBot="1">
      <c r="A88" s="219"/>
      <c r="B88" s="220"/>
      <c r="C88" s="221" t="s">
        <v>190</v>
      </c>
      <c r="D88" s="220"/>
      <c r="E88" s="234">
        <f>0.24*11</f>
        <v>2.6399999999999997</v>
      </c>
      <c r="F88" s="223"/>
      <c r="G88" s="223"/>
      <c r="H88" s="27"/>
      <c r="I88" s="226"/>
      <c r="J88" s="24"/>
    </row>
    <row r="89" spans="1:10" ht="20.100000000000001" customHeight="1" thickBot="1">
      <c r="A89" s="64">
        <v>31</v>
      </c>
      <c r="B89" s="65" t="s">
        <v>191</v>
      </c>
      <c r="C89" s="66" t="s">
        <v>192</v>
      </c>
      <c r="D89" s="65" t="s">
        <v>143</v>
      </c>
      <c r="E89" s="233">
        <v>1</v>
      </c>
      <c r="F89" s="68"/>
      <c r="G89" s="69">
        <f>ROUND(E89*F89,2)</f>
        <v>0</v>
      </c>
      <c r="H89" s="27">
        <v>1.2999999999999999E-2</v>
      </c>
      <c r="I89" s="226">
        <f>E89*H89</f>
        <v>1.2999999999999999E-2</v>
      </c>
      <c r="J89" s="24"/>
    </row>
    <row r="90" spans="1:10" ht="20.100000000000001" customHeight="1" thickBot="1">
      <c r="A90" s="219"/>
      <c r="B90" s="220"/>
      <c r="C90" s="221"/>
      <c r="D90" s="220"/>
      <c r="E90" s="234"/>
      <c r="F90" s="223"/>
      <c r="G90" s="223"/>
      <c r="H90" s="27"/>
      <c r="I90" s="226"/>
      <c r="J90" s="24"/>
    </row>
    <row r="91" spans="1:10" ht="20.100000000000001" customHeight="1" thickBot="1">
      <c r="A91" s="64">
        <v>32</v>
      </c>
      <c r="B91" s="65">
        <v>764001821</v>
      </c>
      <c r="C91" s="66" t="s">
        <v>193</v>
      </c>
      <c r="D91" s="65" t="s">
        <v>109</v>
      </c>
      <c r="E91" s="233">
        <f>E92</f>
        <v>3.25</v>
      </c>
      <c r="F91" s="68"/>
      <c r="G91" s="69">
        <f>ROUND(E91*F91,2)</f>
        <v>0</v>
      </c>
      <c r="H91" s="27">
        <v>5.94E-3</v>
      </c>
      <c r="I91" s="226">
        <f>E91*H91</f>
        <v>1.9304999999999999E-2</v>
      </c>
      <c r="J91" s="24"/>
    </row>
    <row r="92" spans="1:10" ht="20.100000000000001" customHeight="1" thickBot="1">
      <c r="A92" s="219"/>
      <c r="B92" s="220"/>
      <c r="C92" s="221" t="s">
        <v>194</v>
      </c>
      <c r="D92" s="220"/>
      <c r="E92" s="234">
        <f>3.25*1</f>
        <v>3.25</v>
      </c>
      <c r="F92" s="223"/>
      <c r="G92" s="223"/>
      <c r="H92" s="27"/>
      <c r="I92" s="226"/>
      <c r="J92" s="24"/>
    </row>
    <row r="93" spans="1:10" ht="20.100000000000001" customHeight="1" thickBot="1">
      <c r="A93" s="64">
        <v>33</v>
      </c>
      <c r="B93" s="65">
        <v>762812811</v>
      </c>
      <c r="C93" s="66" t="s">
        <v>195</v>
      </c>
      <c r="D93" s="65" t="s">
        <v>109</v>
      </c>
      <c r="E93" s="233">
        <f>E94</f>
        <v>3.25</v>
      </c>
      <c r="F93" s="68"/>
      <c r="G93" s="69">
        <f>ROUND(E93*F93,2)</f>
        <v>0</v>
      </c>
      <c r="H93" s="27">
        <v>1.4E-2</v>
      </c>
      <c r="I93" s="226">
        <f>E93*H93</f>
        <v>4.5499999999999999E-2</v>
      </c>
      <c r="J93" s="24"/>
    </row>
    <row r="94" spans="1:10" ht="20.100000000000001" customHeight="1" thickBot="1">
      <c r="A94" s="219"/>
      <c r="B94" s="220"/>
      <c r="C94" s="221" t="s">
        <v>194</v>
      </c>
      <c r="D94" s="220"/>
      <c r="E94" s="234">
        <f>3.25*1</f>
        <v>3.25</v>
      </c>
      <c r="F94" s="223"/>
      <c r="G94" s="223"/>
      <c r="H94" s="27"/>
      <c r="I94" s="226"/>
      <c r="J94" s="24"/>
    </row>
    <row r="95" spans="1:10" ht="20.100000000000001" customHeight="1" thickBot="1">
      <c r="A95" s="64">
        <v>34</v>
      </c>
      <c r="B95" s="65">
        <v>762822820</v>
      </c>
      <c r="C95" s="66" t="s">
        <v>196</v>
      </c>
      <c r="D95" s="65" t="s">
        <v>115</v>
      </c>
      <c r="E95" s="233">
        <f>E96</f>
        <v>3.25</v>
      </c>
      <c r="F95" s="68"/>
      <c r="G95" s="69">
        <f>ROUND(E95*F95,2)</f>
        <v>0</v>
      </c>
      <c r="H95" s="27">
        <v>1.7000000000000001E-2</v>
      </c>
      <c r="I95" s="226">
        <f>E95*H95</f>
        <v>5.5250000000000007E-2</v>
      </c>
      <c r="J95" s="24"/>
    </row>
    <row r="96" spans="1:10" ht="20.100000000000001" customHeight="1" thickBot="1">
      <c r="A96" s="219"/>
      <c r="B96" s="220"/>
      <c r="C96" s="221" t="s">
        <v>194</v>
      </c>
      <c r="D96" s="220"/>
      <c r="E96" s="234">
        <f>3.25*1</f>
        <v>3.25</v>
      </c>
      <c r="F96" s="223"/>
      <c r="G96" s="223"/>
      <c r="H96" s="27"/>
      <c r="I96" s="226"/>
      <c r="J96" s="24"/>
    </row>
    <row r="97" spans="1:10" ht="20.100000000000001" customHeight="1" thickBot="1">
      <c r="A97" s="64">
        <v>35</v>
      </c>
      <c r="B97" s="65">
        <v>974031132</v>
      </c>
      <c r="C97" s="66" t="s">
        <v>379</v>
      </c>
      <c r="D97" s="65" t="s">
        <v>115</v>
      </c>
      <c r="E97" s="233">
        <v>100</v>
      </c>
      <c r="F97" s="68"/>
      <c r="G97" s="69">
        <f>ROUND(E97*F97,2)</f>
        <v>0</v>
      </c>
      <c r="H97" s="27">
        <v>6.0000000000000001E-3</v>
      </c>
      <c r="I97" s="226">
        <f>E97*H97</f>
        <v>0.6</v>
      </c>
      <c r="J97" s="24"/>
    </row>
    <row r="98" spans="1:10" ht="20.100000000000001" customHeight="1" thickBot="1">
      <c r="A98" s="219"/>
      <c r="B98" s="220"/>
      <c r="C98" s="221"/>
      <c r="D98" s="220"/>
      <c r="E98" s="234"/>
      <c r="F98" s="223"/>
      <c r="G98" s="223"/>
      <c r="H98" s="27"/>
      <c r="I98" s="226"/>
      <c r="J98" s="24"/>
    </row>
    <row r="99" spans="1:10" ht="20.100000000000001" customHeight="1" thickBot="1">
      <c r="A99" s="64">
        <v>36</v>
      </c>
      <c r="B99" s="65">
        <v>997013112</v>
      </c>
      <c r="C99" s="66" t="s">
        <v>197</v>
      </c>
      <c r="D99" s="65" t="s">
        <v>113</v>
      </c>
      <c r="E99" s="233">
        <f>I99</f>
        <v>22.178967800000002</v>
      </c>
      <c r="F99" s="68"/>
      <c r="G99" s="69">
        <f>ROUND(E99*F99,2)</f>
        <v>0</v>
      </c>
      <c r="H99" s="27"/>
      <c r="I99" s="227">
        <f>SUM(I10:I97)</f>
        <v>22.178967800000002</v>
      </c>
      <c r="J99" s="24"/>
    </row>
    <row r="100" spans="1:10" ht="20.100000000000001" customHeight="1" thickBot="1">
      <c r="A100" s="219"/>
      <c r="B100" s="220"/>
      <c r="C100" s="221"/>
      <c r="D100" s="220"/>
      <c r="E100" s="234"/>
      <c r="F100" s="223"/>
      <c r="G100" s="223"/>
      <c r="H100" s="27"/>
      <c r="I100" s="226"/>
      <c r="J100" s="24"/>
    </row>
    <row r="101" spans="1:10" ht="20.100000000000001" customHeight="1" thickBot="1">
      <c r="A101" s="64">
        <v>37</v>
      </c>
      <c r="B101" s="65">
        <v>997013501</v>
      </c>
      <c r="C101" s="66" t="s">
        <v>198</v>
      </c>
      <c r="D101" s="65" t="s">
        <v>113</v>
      </c>
      <c r="E101" s="233">
        <f>E99</f>
        <v>22.178967800000002</v>
      </c>
      <c r="F101" s="68"/>
      <c r="G101" s="69">
        <f>ROUND(E101*F101,2)</f>
        <v>0</v>
      </c>
      <c r="H101" s="27"/>
      <c r="I101" s="226"/>
      <c r="J101" s="24"/>
    </row>
    <row r="102" spans="1:10" ht="20.100000000000001" customHeight="1" thickBot="1">
      <c r="A102" s="219"/>
      <c r="B102" s="220"/>
      <c r="C102" s="221"/>
      <c r="D102" s="220"/>
      <c r="E102" s="234"/>
      <c r="F102" s="223"/>
      <c r="G102" s="223"/>
      <c r="H102" s="27"/>
      <c r="I102" s="226"/>
      <c r="J102" s="24"/>
    </row>
    <row r="103" spans="1:10" ht="20.100000000000001" customHeight="1" thickBot="1">
      <c r="A103" s="64">
        <v>38</v>
      </c>
      <c r="B103" s="65">
        <v>9970133509</v>
      </c>
      <c r="C103" s="66" t="s">
        <v>199</v>
      </c>
      <c r="D103" s="65" t="s">
        <v>113</v>
      </c>
      <c r="E103" s="233">
        <f>E104</f>
        <v>243.96864580000002</v>
      </c>
      <c r="F103" s="68"/>
      <c r="G103" s="69">
        <f>ROUND(E103*F103,2)</f>
        <v>0</v>
      </c>
      <c r="H103" s="27"/>
      <c r="I103" s="226"/>
      <c r="J103" s="24"/>
    </row>
    <row r="104" spans="1:10" ht="20.100000000000001" customHeight="1" thickBot="1">
      <c r="A104" s="219"/>
      <c r="B104" s="220"/>
      <c r="C104" s="221" t="s">
        <v>200</v>
      </c>
      <c r="D104" s="220"/>
      <c r="E104" s="234">
        <f>E101*11</f>
        <v>243.96864580000002</v>
      </c>
      <c r="F104" s="223"/>
      <c r="G104" s="223"/>
      <c r="H104" s="27"/>
      <c r="I104" s="226"/>
      <c r="J104" s="24"/>
    </row>
    <row r="105" spans="1:10" ht="20.100000000000001" customHeight="1" thickBot="1">
      <c r="A105" s="64">
        <v>39</v>
      </c>
      <c r="B105" s="65">
        <v>997013603</v>
      </c>
      <c r="C105" s="66" t="s">
        <v>201</v>
      </c>
      <c r="D105" s="65" t="s">
        <v>113</v>
      </c>
      <c r="E105" s="233">
        <f>E99</f>
        <v>22.178967800000002</v>
      </c>
      <c r="F105" s="68"/>
      <c r="G105" s="69">
        <f>ROUND(E105*F105,2)</f>
        <v>0</v>
      </c>
      <c r="H105" s="27"/>
      <c r="I105" s="226"/>
      <c r="J105" s="24"/>
    </row>
    <row r="106" spans="1:10" ht="20.100000000000001" customHeight="1">
      <c r="A106" s="213"/>
      <c r="B106" s="214"/>
      <c r="C106" s="215"/>
      <c r="D106" s="214"/>
      <c r="E106" s="232"/>
      <c r="F106" s="217"/>
      <c r="G106" s="217"/>
      <c r="H106" s="27"/>
      <c r="I106" s="226"/>
      <c r="J106" s="24"/>
    </row>
    <row r="107" spans="1:10" ht="20.100000000000001" customHeight="1" thickBot="1">
      <c r="A107" s="59"/>
      <c r="B107" s="60">
        <v>2</v>
      </c>
      <c r="C107" s="61" t="s">
        <v>210</v>
      </c>
      <c r="D107" s="60"/>
      <c r="E107" s="62"/>
      <c r="F107" s="63"/>
      <c r="G107" s="63">
        <f>SUM(G108:G114)</f>
        <v>0</v>
      </c>
      <c r="H107" s="27"/>
      <c r="I107" s="226"/>
      <c r="J107" s="24"/>
    </row>
    <row r="108" spans="1:10" ht="20.100000000000001" customHeight="1" thickBot="1">
      <c r="A108" s="64">
        <v>40</v>
      </c>
      <c r="B108" s="65">
        <v>279113132</v>
      </c>
      <c r="C108" s="66" t="s">
        <v>202</v>
      </c>
      <c r="D108" s="65" t="s">
        <v>109</v>
      </c>
      <c r="E108" s="67">
        <f>E109</f>
        <v>7.25</v>
      </c>
      <c r="F108" s="68"/>
      <c r="G108" s="69">
        <f>ROUND(E108*F108,2)</f>
        <v>0</v>
      </c>
      <c r="H108" s="27">
        <v>0.42831999999999998</v>
      </c>
      <c r="I108" s="226">
        <f>E108*H108</f>
        <v>3.1053199999999999</v>
      </c>
      <c r="J108" s="24"/>
    </row>
    <row r="109" spans="1:10" ht="20.100000000000001" customHeight="1" thickBot="1">
      <c r="A109" s="29"/>
      <c r="B109" s="30"/>
      <c r="C109" s="31" t="s">
        <v>203</v>
      </c>
      <c r="D109" s="30"/>
      <c r="E109" s="37">
        <f>1.25*(4+1.8)</f>
        <v>7.25</v>
      </c>
      <c r="F109" s="33"/>
      <c r="G109" s="33"/>
      <c r="H109" s="27"/>
      <c r="I109" s="226"/>
      <c r="J109" s="24"/>
    </row>
    <row r="110" spans="1:10" ht="20.100000000000001" customHeight="1" thickBot="1">
      <c r="A110" s="64">
        <v>41</v>
      </c>
      <c r="B110" s="65">
        <v>274361821</v>
      </c>
      <c r="C110" s="66" t="s">
        <v>204</v>
      </c>
      <c r="D110" s="65" t="s">
        <v>113</v>
      </c>
      <c r="E110" s="67">
        <f>E111</f>
        <v>4.6992000000000006E-2</v>
      </c>
      <c r="F110" s="68"/>
      <c r="G110" s="69">
        <f>ROUND(E110*F110,2)</f>
        <v>0</v>
      </c>
      <c r="H110" s="27">
        <v>1.0606199999999999</v>
      </c>
      <c r="I110" s="226">
        <f>E110*H110</f>
        <v>4.9840655040000001E-2</v>
      </c>
      <c r="J110" s="24"/>
    </row>
    <row r="111" spans="1:10" ht="20.100000000000001" customHeight="1" thickBot="1">
      <c r="A111" s="29"/>
      <c r="B111" s="30"/>
      <c r="C111" s="31" t="s">
        <v>205</v>
      </c>
      <c r="D111" s="30"/>
      <c r="E111" s="37">
        <f>2*24*0.89*0.001*1.1</f>
        <v>4.6992000000000006E-2</v>
      </c>
      <c r="F111" s="33"/>
      <c r="G111" s="33"/>
      <c r="H111" s="27"/>
      <c r="I111" s="226"/>
      <c r="J111" s="24"/>
    </row>
    <row r="112" spans="1:10" ht="140.25" customHeight="1" thickBot="1">
      <c r="A112" s="81">
        <v>42</v>
      </c>
      <c r="B112" s="82" t="s">
        <v>206</v>
      </c>
      <c r="C112" s="243" t="s">
        <v>209</v>
      </c>
      <c r="D112" s="82" t="s">
        <v>142</v>
      </c>
      <c r="E112" s="84">
        <v>1</v>
      </c>
      <c r="F112" s="85"/>
      <c r="G112" s="86">
        <f>ROUND(E112*F112,2)</f>
        <v>0</v>
      </c>
      <c r="H112" s="27">
        <v>0.5</v>
      </c>
      <c r="I112" s="226">
        <f>E112*H112</f>
        <v>0.5</v>
      </c>
      <c r="J112" s="24"/>
    </row>
    <row r="113" spans="1:10" ht="20.100000000000001" customHeight="1" thickBot="1">
      <c r="A113" s="70"/>
      <c r="B113" s="239"/>
      <c r="C113" s="240"/>
      <c r="D113" s="241"/>
      <c r="E113" s="242"/>
      <c r="F113" s="73"/>
      <c r="G113" s="73"/>
      <c r="H113" s="27"/>
      <c r="I113" s="226"/>
      <c r="J113" s="24"/>
    </row>
    <row r="114" spans="1:10" ht="20.100000000000001" customHeight="1" thickBot="1">
      <c r="A114" s="64">
        <v>43</v>
      </c>
      <c r="B114" s="65" t="s">
        <v>207</v>
      </c>
      <c r="C114" s="66" t="s">
        <v>208</v>
      </c>
      <c r="D114" s="65" t="s">
        <v>142</v>
      </c>
      <c r="E114" s="67">
        <v>1</v>
      </c>
      <c r="F114" s="68"/>
      <c r="G114" s="69">
        <f>ROUND(E114*F114,2)</f>
        <v>0</v>
      </c>
      <c r="H114" s="27"/>
      <c r="I114" s="226"/>
      <c r="J114" s="24"/>
    </row>
    <row r="115" spans="1:10" ht="20.100000000000001" customHeight="1">
      <c r="A115" s="70"/>
      <c r="B115" s="239"/>
      <c r="C115" s="240"/>
      <c r="D115" s="241"/>
      <c r="E115" s="242"/>
      <c r="F115" s="73"/>
      <c r="G115" s="73"/>
      <c r="H115" s="27"/>
      <c r="I115" s="226"/>
      <c r="J115" s="24"/>
    </row>
    <row r="116" spans="1:10" ht="20.100000000000001" customHeight="1" thickBot="1">
      <c r="A116" s="59"/>
      <c r="B116" s="60">
        <v>3</v>
      </c>
      <c r="C116" s="61" t="s">
        <v>222</v>
      </c>
      <c r="D116" s="60"/>
      <c r="E116" s="62"/>
      <c r="F116" s="63"/>
      <c r="G116" s="63">
        <f>SUM(G117:G117)</f>
        <v>0</v>
      </c>
      <c r="H116" s="27"/>
      <c r="I116" s="226"/>
      <c r="J116" s="24"/>
    </row>
    <row r="117" spans="1:10" ht="20.100000000000001" customHeight="1" thickBot="1">
      <c r="A117" s="64">
        <v>44</v>
      </c>
      <c r="B117" s="65">
        <v>612325301</v>
      </c>
      <c r="C117" s="66" t="s">
        <v>223</v>
      </c>
      <c r="D117" s="65" t="s">
        <v>109</v>
      </c>
      <c r="E117" s="67">
        <f>E118</f>
        <v>0.83200000000000007</v>
      </c>
      <c r="F117" s="68"/>
      <c r="G117" s="69">
        <f>ROUND(E117*F117,2)</f>
        <v>0</v>
      </c>
      <c r="H117" s="27">
        <v>3.0450000000000001E-2</v>
      </c>
      <c r="I117" s="226">
        <f>E117*H117</f>
        <v>2.5334400000000003E-2</v>
      </c>
      <c r="J117" s="24"/>
    </row>
    <row r="118" spans="1:10" ht="20.100000000000001" customHeight="1">
      <c r="A118" s="219"/>
      <c r="B118" s="220"/>
      <c r="C118" s="221" t="s">
        <v>224</v>
      </c>
      <c r="D118" s="220"/>
      <c r="E118" s="231">
        <f>0.13*(1.4*2+1.8*2)</f>
        <v>0.83200000000000007</v>
      </c>
      <c r="F118" s="223"/>
      <c r="G118" s="223"/>
      <c r="H118" s="27"/>
      <c r="I118" s="226"/>
      <c r="J118" s="24"/>
    </row>
    <row r="119" spans="1:10" ht="20.100000000000001" customHeight="1">
      <c r="A119" s="213"/>
      <c r="B119" s="214"/>
      <c r="C119" s="215"/>
      <c r="D119" s="214"/>
      <c r="E119" s="216"/>
      <c r="F119" s="217"/>
      <c r="G119" s="217"/>
      <c r="H119" s="27"/>
      <c r="I119" s="226"/>
      <c r="J119" s="24"/>
    </row>
    <row r="120" spans="1:10" ht="20.100000000000001" customHeight="1" thickBot="1">
      <c r="A120" s="59"/>
      <c r="B120" s="60">
        <v>4</v>
      </c>
      <c r="C120" s="61" t="s">
        <v>225</v>
      </c>
      <c r="D120" s="60"/>
      <c r="E120" s="62"/>
      <c r="F120" s="63"/>
      <c r="G120" s="63">
        <f>SUM(G121:G172)</f>
        <v>0</v>
      </c>
      <c r="H120" s="27"/>
      <c r="I120" s="226"/>
      <c r="J120" s="24"/>
    </row>
    <row r="121" spans="1:10" ht="20.100000000000001" customHeight="1" thickBot="1">
      <c r="A121" s="64">
        <v>45</v>
      </c>
      <c r="B121" s="65">
        <v>629995215</v>
      </c>
      <c r="C121" s="66" t="s">
        <v>241</v>
      </c>
      <c r="D121" s="65" t="s">
        <v>109</v>
      </c>
      <c r="E121" s="67">
        <f>SUM(E122:E132)</f>
        <v>40.7866</v>
      </c>
      <c r="F121" s="68"/>
      <c r="G121" s="69">
        <f>ROUND(E121*F121,2)</f>
        <v>0</v>
      </c>
      <c r="H121" s="27"/>
      <c r="I121" s="226"/>
      <c r="J121" s="24"/>
    </row>
    <row r="122" spans="1:10" ht="20.100000000000001" customHeight="1">
      <c r="A122" s="40"/>
      <c r="B122" s="41"/>
      <c r="C122" s="42" t="s">
        <v>226</v>
      </c>
      <c r="D122" s="41"/>
      <c r="E122" s="43"/>
      <c r="F122" s="44"/>
      <c r="G122" s="44"/>
      <c r="H122" s="27"/>
      <c r="I122" s="226"/>
      <c r="J122" s="24"/>
    </row>
    <row r="123" spans="1:10" ht="20.100000000000001" customHeight="1">
      <c r="A123" s="29"/>
      <c r="B123" s="30"/>
      <c r="C123" s="31" t="s">
        <v>232</v>
      </c>
      <c r="D123" s="30"/>
      <c r="E123" s="32">
        <f>5.7*0.3-(0.6*0.2+0.6*0.4)</f>
        <v>1.35</v>
      </c>
      <c r="F123" s="33"/>
      <c r="G123" s="33"/>
      <c r="H123" s="27"/>
      <c r="I123" s="226"/>
      <c r="J123" s="24"/>
    </row>
    <row r="124" spans="1:10" ht="20.100000000000001" customHeight="1">
      <c r="A124" s="29"/>
      <c r="B124" s="30"/>
      <c r="C124" s="31" t="s">
        <v>233</v>
      </c>
      <c r="D124" s="30"/>
      <c r="E124" s="32">
        <f>5.74*0.8-(0.6*0.4)</f>
        <v>4.3520000000000003</v>
      </c>
      <c r="F124" s="33"/>
      <c r="G124" s="33"/>
      <c r="H124" s="27"/>
      <c r="I124" s="226"/>
      <c r="J124" s="24"/>
    </row>
    <row r="125" spans="1:10" ht="20.100000000000001" customHeight="1">
      <c r="A125" s="29"/>
      <c r="B125" s="30"/>
      <c r="C125" s="45" t="s">
        <v>227</v>
      </c>
      <c r="D125" s="30"/>
      <c r="E125" s="32"/>
      <c r="F125" s="33"/>
      <c r="G125" s="33"/>
      <c r="H125" s="27"/>
      <c r="I125" s="226"/>
      <c r="J125" s="24"/>
    </row>
    <row r="126" spans="1:10" ht="20.100000000000001" customHeight="1">
      <c r="A126" s="29"/>
      <c r="B126" s="30"/>
      <c r="C126" s="31" t="s">
        <v>228</v>
      </c>
      <c r="D126" s="30"/>
      <c r="E126" s="32">
        <f>3.84*1.65-(0.81*1.09)</f>
        <v>5.4530999999999992</v>
      </c>
      <c r="F126" s="33"/>
      <c r="G126" s="33"/>
      <c r="H126" s="27"/>
      <c r="I126" s="226"/>
      <c r="J126" s="24"/>
    </row>
    <row r="127" spans="1:10" ht="20.100000000000001" customHeight="1">
      <c r="A127" s="29"/>
      <c r="B127" s="30"/>
      <c r="C127" s="31" t="s">
        <v>234</v>
      </c>
      <c r="D127" s="30"/>
      <c r="E127" s="32">
        <f>4*2.45-(0.8*2)</f>
        <v>8.2000000000000011</v>
      </c>
      <c r="F127" s="33"/>
      <c r="G127" s="33"/>
      <c r="H127" s="27"/>
      <c r="I127" s="226"/>
      <c r="J127" s="24"/>
    </row>
    <row r="128" spans="1:10" ht="20.100000000000001" customHeight="1">
      <c r="A128" s="29"/>
      <c r="B128" s="30"/>
      <c r="C128" s="31" t="s">
        <v>235</v>
      </c>
      <c r="D128" s="30"/>
      <c r="E128" s="32">
        <f>2.75*1.65-(0.8*1.86+0.7*0.4)</f>
        <v>2.7694999999999994</v>
      </c>
      <c r="F128" s="33"/>
      <c r="G128" s="33"/>
      <c r="H128" s="27"/>
      <c r="I128" s="226"/>
      <c r="J128" s="24"/>
    </row>
    <row r="129" spans="1:10" ht="20.100000000000001" customHeight="1">
      <c r="A129" s="29"/>
      <c r="B129" s="30"/>
      <c r="C129" s="45" t="s">
        <v>229</v>
      </c>
      <c r="D129" s="30"/>
      <c r="E129" s="32"/>
      <c r="F129" s="33"/>
      <c r="G129" s="33"/>
      <c r="H129" s="27"/>
      <c r="I129" s="226"/>
      <c r="J129" s="24"/>
    </row>
    <row r="130" spans="1:10" ht="20.100000000000001" customHeight="1">
      <c r="A130" s="29"/>
      <c r="B130" s="30"/>
      <c r="C130" s="31" t="s">
        <v>230</v>
      </c>
      <c r="D130" s="30"/>
      <c r="E130" s="32">
        <f>4.25*1.65-(1.08*1.12)</f>
        <v>5.8028999999999993</v>
      </c>
      <c r="F130" s="33"/>
      <c r="G130" s="33"/>
      <c r="H130" s="27"/>
      <c r="I130" s="226"/>
      <c r="J130" s="24"/>
    </row>
    <row r="131" spans="1:10" ht="20.100000000000001" customHeight="1">
      <c r="A131" s="29"/>
      <c r="B131" s="30"/>
      <c r="C131" s="31" t="s">
        <v>231</v>
      </c>
      <c r="D131" s="30"/>
      <c r="E131" s="32">
        <f>4.75*1.65-(0.56*0.59)</f>
        <v>7.5070999999999994</v>
      </c>
      <c r="F131" s="33"/>
      <c r="G131" s="33"/>
      <c r="H131" s="27"/>
      <c r="I131" s="226"/>
      <c r="J131" s="24"/>
    </row>
    <row r="132" spans="1:10" ht="20.100000000000001" customHeight="1" thickBot="1">
      <c r="A132" s="29"/>
      <c r="B132" s="30"/>
      <c r="C132" s="31" t="s">
        <v>236</v>
      </c>
      <c r="D132" s="30"/>
      <c r="E132" s="32">
        <f>4.46*1.2</f>
        <v>5.3519999999999994</v>
      </c>
      <c r="F132" s="33"/>
      <c r="G132" s="33"/>
      <c r="H132" s="27"/>
      <c r="I132" s="226"/>
      <c r="J132" s="24"/>
    </row>
    <row r="133" spans="1:10" ht="20.100000000000001" customHeight="1" thickBot="1">
      <c r="A133" s="64">
        <v>46</v>
      </c>
      <c r="B133" s="65">
        <v>629995101</v>
      </c>
      <c r="C133" s="66" t="s">
        <v>242</v>
      </c>
      <c r="D133" s="65" t="s">
        <v>109</v>
      </c>
      <c r="E133" s="67">
        <f>E67</f>
        <v>272.51070000000004</v>
      </c>
      <c r="F133" s="68"/>
      <c r="G133" s="69">
        <f>ROUND(E133*F133,2)</f>
        <v>0</v>
      </c>
      <c r="H133" s="27"/>
      <c r="I133" s="226"/>
      <c r="J133" s="24"/>
    </row>
    <row r="134" spans="1:10" ht="20.100000000000001" customHeight="1" thickBot="1">
      <c r="A134" s="213"/>
      <c r="B134" s="214"/>
      <c r="C134" s="215"/>
      <c r="D134" s="214"/>
      <c r="E134" s="216"/>
      <c r="F134" s="217"/>
      <c r="G134" s="217"/>
      <c r="H134" s="27"/>
      <c r="I134" s="226"/>
      <c r="J134" s="24"/>
    </row>
    <row r="135" spans="1:10" ht="20.100000000000001" customHeight="1" thickBot="1">
      <c r="A135" s="64">
        <v>47</v>
      </c>
      <c r="B135" s="65" t="s">
        <v>238</v>
      </c>
      <c r="C135" s="66" t="s">
        <v>239</v>
      </c>
      <c r="D135" s="65" t="s">
        <v>109</v>
      </c>
      <c r="E135" s="67">
        <f>E61</f>
        <v>25.689000000000004</v>
      </c>
      <c r="F135" s="68"/>
      <c r="G135" s="69">
        <f>ROUND(E135*F135,2)</f>
        <v>0</v>
      </c>
      <c r="H135" s="27">
        <f>0.00892</f>
        <v>8.9200000000000008E-3</v>
      </c>
      <c r="I135" s="226">
        <f>E135*H135</f>
        <v>0.22914588000000005</v>
      </c>
      <c r="J135" s="24"/>
    </row>
    <row r="136" spans="1:10" ht="20.100000000000001" customHeight="1" thickBot="1">
      <c r="A136" s="213"/>
      <c r="B136" s="214"/>
      <c r="C136" s="215"/>
      <c r="D136" s="214"/>
      <c r="E136" s="216"/>
      <c r="F136" s="217"/>
      <c r="G136" s="217"/>
      <c r="H136" s="27"/>
      <c r="I136" s="226"/>
      <c r="J136" s="24"/>
    </row>
    <row r="137" spans="1:10" ht="20.100000000000001" customHeight="1" thickBot="1">
      <c r="A137" s="64">
        <v>48</v>
      </c>
      <c r="B137" s="65">
        <v>460941222</v>
      </c>
      <c r="C137" s="66" t="s">
        <v>382</v>
      </c>
      <c r="D137" s="65" t="s">
        <v>0</v>
      </c>
      <c r="E137" s="67">
        <v>100</v>
      </c>
      <c r="F137" s="68"/>
      <c r="G137" s="69">
        <f>ROUND(E137*F137,2)</f>
        <v>0</v>
      </c>
      <c r="H137" s="27">
        <v>5.9999999999999995E-4</v>
      </c>
      <c r="I137" s="226">
        <f>E137*H137</f>
        <v>0.06</v>
      </c>
      <c r="J137" s="24"/>
    </row>
    <row r="138" spans="1:10" ht="20.100000000000001" customHeight="1" thickBot="1">
      <c r="A138" s="29"/>
      <c r="B138" s="30"/>
      <c r="C138" s="31"/>
      <c r="D138" s="30"/>
      <c r="E138" s="32"/>
      <c r="F138" s="33"/>
      <c r="G138" s="33"/>
      <c r="H138" s="27"/>
      <c r="I138" s="226"/>
      <c r="J138" s="24"/>
    </row>
    <row r="139" spans="1:10" ht="20.100000000000001" customHeight="1" thickBot="1">
      <c r="A139" s="64">
        <v>49</v>
      </c>
      <c r="B139" s="65">
        <v>622131151</v>
      </c>
      <c r="C139" s="66" t="s">
        <v>237</v>
      </c>
      <c r="D139" s="65" t="s">
        <v>109</v>
      </c>
      <c r="E139" s="67">
        <f>E135</f>
        <v>25.689000000000004</v>
      </c>
      <c r="F139" s="68"/>
      <c r="G139" s="69">
        <f>ROUND(E139*F139,2)</f>
        <v>0</v>
      </c>
      <c r="H139" s="27">
        <v>0.01</v>
      </c>
      <c r="I139" s="226">
        <f>E139*H139</f>
        <v>0.25689000000000006</v>
      </c>
      <c r="J139" s="24"/>
    </row>
    <row r="140" spans="1:10" ht="20.100000000000001" customHeight="1" thickBot="1">
      <c r="A140" s="70"/>
      <c r="B140" s="71"/>
      <c r="C140" s="25"/>
      <c r="D140" s="71"/>
      <c r="E140" s="74"/>
      <c r="F140" s="73"/>
      <c r="G140" s="73"/>
      <c r="H140" s="27"/>
      <c r="I140" s="226"/>
      <c r="J140" s="24"/>
    </row>
    <row r="141" spans="1:10" ht="20.25" customHeight="1" thickBot="1">
      <c r="A141" s="64">
        <v>50</v>
      </c>
      <c r="B141" s="65">
        <v>622325121</v>
      </c>
      <c r="C141" s="66" t="s">
        <v>383</v>
      </c>
      <c r="D141" s="65" t="s">
        <v>109</v>
      </c>
      <c r="E141" s="67">
        <f>E142</f>
        <v>51.378</v>
      </c>
      <c r="F141" s="68"/>
      <c r="G141" s="69">
        <f>ROUND(E141*F141,2)</f>
        <v>0</v>
      </c>
      <c r="H141" s="27">
        <v>1.6500000000000001E-2</v>
      </c>
      <c r="I141" s="226">
        <f>E141*H141</f>
        <v>0.84773700000000007</v>
      </c>
      <c r="J141" s="24"/>
    </row>
    <row r="142" spans="1:10" ht="20.100000000000001" customHeight="1" thickBot="1">
      <c r="A142" s="29"/>
      <c r="B142" s="30"/>
      <c r="C142" s="31" t="s">
        <v>240</v>
      </c>
      <c r="D142" s="30"/>
      <c r="E142" s="32">
        <f>25.689*2</f>
        <v>51.378</v>
      </c>
      <c r="F142" s="33"/>
      <c r="G142" s="33"/>
      <c r="H142" s="27"/>
      <c r="I142" s="226"/>
      <c r="J142" s="24"/>
    </row>
    <row r="143" spans="1:10" ht="20.100000000000001" customHeight="1" thickBot="1">
      <c r="A143" s="64">
        <v>51</v>
      </c>
      <c r="B143" s="65">
        <v>622131101</v>
      </c>
      <c r="C143" s="66" t="s">
        <v>262</v>
      </c>
      <c r="D143" s="65" t="s">
        <v>109</v>
      </c>
      <c r="E143" s="67">
        <f>E144</f>
        <v>27.251100000000005</v>
      </c>
      <c r="F143" s="68"/>
      <c r="G143" s="69">
        <f>ROUND(E143*F143,2)</f>
        <v>0</v>
      </c>
      <c r="H143" s="27">
        <v>7.3499999999999998E-3</v>
      </c>
      <c r="I143" s="226">
        <f>E143*H143</f>
        <v>0.20029558500000003</v>
      </c>
      <c r="J143" s="24"/>
    </row>
    <row r="144" spans="1:10" ht="20.100000000000001" customHeight="1" thickBot="1">
      <c r="A144" s="29"/>
      <c r="B144" s="30"/>
      <c r="C144" s="31" t="s">
        <v>302</v>
      </c>
      <c r="D144" s="30"/>
      <c r="E144" s="32">
        <f>272.511*0.1</f>
        <v>27.251100000000005</v>
      </c>
      <c r="F144" s="33"/>
      <c r="G144" s="33"/>
      <c r="H144" s="27"/>
      <c r="I144" s="226"/>
      <c r="J144" s="24"/>
    </row>
    <row r="145" spans="1:10" ht="20.100000000000001" customHeight="1" thickBot="1">
      <c r="A145" s="64">
        <v>52</v>
      </c>
      <c r="B145" s="65">
        <v>622325101</v>
      </c>
      <c r="C145" s="66" t="s">
        <v>243</v>
      </c>
      <c r="D145" s="65" t="s">
        <v>109</v>
      </c>
      <c r="E145" s="67">
        <f>E133</f>
        <v>272.51070000000004</v>
      </c>
      <c r="F145" s="68"/>
      <c r="G145" s="69">
        <f>ROUND(E145*F145,2)</f>
        <v>0</v>
      </c>
      <c r="H145" s="27">
        <v>3.82E-3</v>
      </c>
      <c r="I145" s="226">
        <f>E145*H145</f>
        <v>1.0409908740000002</v>
      </c>
      <c r="J145" s="24"/>
    </row>
    <row r="146" spans="1:10" ht="20.100000000000001" customHeight="1" thickBot="1">
      <c r="A146" s="70"/>
      <c r="B146" s="71"/>
      <c r="C146" s="25"/>
      <c r="D146" s="71"/>
      <c r="E146" s="74"/>
      <c r="F146" s="73"/>
      <c r="G146" s="73"/>
      <c r="H146" s="27"/>
      <c r="I146" s="226"/>
      <c r="J146" s="24"/>
    </row>
    <row r="147" spans="1:10" ht="20.100000000000001" customHeight="1" thickBot="1">
      <c r="A147" s="64">
        <v>53</v>
      </c>
      <c r="B147" s="65">
        <v>622331121</v>
      </c>
      <c r="C147" s="66" t="s">
        <v>244</v>
      </c>
      <c r="D147" s="65" t="s">
        <v>109</v>
      </c>
      <c r="E147" s="67">
        <f>SUM(E148:E154)</f>
        <v>315.47850000000005</v>
      </c>
      <c r="F147" s="68"/>
      <c r="G147" s="69">
        <f>ROUND(E147*F147,2)</f>
        <v>0</v>
      </c>
      <c r="H147" s="27">
        <v>3.15E-2</v>
      </c>
      <c r="I147" s="226">
        <f>E147*H147</f>
        <v>9.9375727500000011</v>
      </c>
      <c r="J147" s="24"/>
    </row>
    <row r="148" spans="1:10" ht="20.100000000000001" customHeight="1">
      <c r="A148" s="29"/>
      <c r="B148" s="30"/>
      <c r="C148" s="31" t="s">
        <v>303</v>
      </c>
      <c r="D148" s="30"/>
      <c r="E148" s="32">
        <f>272.511+25.689</f>
        <v>298.20000000000005</v>
      </c>
      <c r="F148" s="33"/>
      <c r="G148" s="33"/>
      <c r="H148" s="27"/>
      <c r="I148" s="226"/>
      <c r="J148" s="24"/>
    </row>
    <row r="149" spans="1:10" ht="20.100000000000001" customHeight="1">
      <c r="A149" s="29"/>
      <c r="B149" s="30" t="s">
        <v>250</v>
      </c>
      <c r="C149" s="31" t="s">
        <v>251</v>
      </c>
      <c r="D149" s="30"/>
      <c r="E149" s="32">
        <f>0.45*(0.8+2*2)</f>
        <v>2.16</v>
      </c>
      <c r="F149" s="33"/>
      <c r="G149" s="33"/>
      <c r="H149" s="27"/>
      <c r="I149" s="226"/>
      <c r="J149" s="24"/>
    </row>
    <row r="150" spans="1:10" ht="20.100000000000001" customHeight="1">
      <c r="A150" s="29"/>
      <c r="B150" s="30"/>
      <c r="C150" s="31" t="s">
        <v>252</v>
      </c>
      <c r="D150" s="30"/>
      <c r="E150" s="32">
        <f>0.2*(1.8*2+1.12*2+1.08*2+1.12*2+0.81*2+1.09*2)</f>
        <v>2.8079999999999998</v>
      </c>
      <c r="F150" s="33"/>
      <c r="G150" s="33"/>
      <c r="H150" s="27"/>
      <c r="I150" s="226"/>
      <c r="J150" s="24"/>
    </row>
    <row r="151" spans="1:10" ht="20.100000000000001" customHeight="1">
      <c r="A151" s="29"/>
      <c r="B151" s="30" t="s">
        <v>246</v>
      </c>
      <c r="C151" s="31" t="s">
        <v>248</v>
      </c>
      <c r="D151" s="30"/>
      <c r="E151" s="32">
        <f>0.15*(1.16+1.76*2+1.17+1.85*2+1.16+1.85*2+1.21+1.54*2+2.9+1.82+1.4+1.8*2)</f>
        <v>4.2629999999999999</v>
      </c>
      <c r="F151" s="33"/>
      <c r="G151" s="33"/>
      <c r="H151" s="27"/>
      <c r="I151" s="226"/>
      <c r="J151" s="24"/>
    </row>
    <row r="152" spans="1:10" ht="20.100000000000001" customHeight="1">
      <c r="A152" s="29"/>
      <c r="B152" s="30"/>
      <c r="C152" s="31" t="s">
        <v>249</v>
      </c>
      <c r="D152" s="30"/>
      <c r="E152" s="32">
        <f>0.15*(1.25+1.3*2+1.22+1.3*2+0.82+1.18*2+0.82+1.18*2+0.82+1.18*2)</f>
        <v>2.5815000000000001</v>
      </c>
      <c r="F152" s="33"/>
      <c r="G152" s="33"/>
      <c r="H152" s="27"/>
      <c r="I152" s="226"/>
      <c r="J152" s="24"/>
    </row>
    <row r="153" spans="1:10" ht="20.100000000000001" customHeight="1">
      <c r="A153" s="29"/>
      <c r="B153" s="30" t="s">
        <v>247</v>
      </c>
      <c r="C153" s="31" t="s">
        <v>253</v>
      </c>
      <c r="D153" s="30"/>
      <c r="E153" s="32">
        <f>0.15*(1+1.32*2+1+2.18*2+1+1.28*2+1+1.28*2+1+1.32*2+1+1.32*2+1+1.28*2)</f>
        <v>4.0439999999999996</v>
      </c>
      <c r="F153" s="33"/>
      <c r="G153" s="33"/>
      <c r="H153" s="27"/>
      <c r="I153" s="226"/>
      <c r="J153" s="24"/>
    </row>
    <row r="154" spans="1:10" ht="20.100000000000001" customHeight="1" thickBot="1">
      <c r="A154" s="29"/>
      <c r="B154" s="30"/>
      <c r="C154" s="31" t="s">
        <v>254</v>
      </c>
      <c r="D154" s="30"/>
      <c r="E154" s="32">
        <f>0.15*(1+1.28*2+0.8+1.08*2+0.8+1.08*2)</f>
        <v>1.4219999999999999</v>
      </c>
      <c r="F154" s="33"/>
      <c r="G154" s="33"/>
      <c r="H154" s="27"/>
      <c r="I154" s="226"/>
      <c r="J154" s="24"/>
    </row>
    <row r="155" spans="1:10" ht="20.100000000000001" customHeight="1" thickBot="1">
      <c r="A155" s="64">
        <v>54</v>
      </c>
      <c r="B155" s="65">
        <v>612325301</v>
      </c>
      <c r="C155" s="66" t="s">
        <v>223</v>
      </c>
      <c r="D155" s="65" t="s">
        <v>109</v>
      </c>
      <c r="E155" s="67">
        <f>E156</f>
        <v>0.96</v>
      </c>
      <c r="F155" s="68"/>
      <c r="G155" s="69">
        <f>ROUND(E155*F155,2)</f>
        <v>0</v>
      </c>
      <c r="H155" s="27">
        <v>3.0450000000000001E-2</v>
      </c>
      <c r="I155" s="226">
        <f>E155*H155</f>
        <v>2.9232000000000001E-2</v>
      </c>
      <c r="J155" s="24"/>
    </row>
    <row r="156" spans="1:10" ht="20.100000000000001" customHeight="1" thickBot="1">
      <c r="A156" s="29"/>
      <c r="B156" s="30"/>
      <c r="C156" s="31" t="s">
        <v>245</v>
      </c>
      <c r="D156" s="30"/>
      <c r="E156" s="32">
        <f>0.15*(1.4*2+1.8*2)</f>
        <v>0.96</v>
      </c>
      <c r="F156" s="33"/>
      <c r="G156" s="33"/>
      <c r="H156" s="27"/>
      <c r="I156" s="226"/>
      <c r="J156" s="24"/>
    </row>
    <row r="157" spans="1:10" ht="20.100000000000001" customHeight="1" thickBot="1">
      <c r="A157" s="64">
        <v>55</v>
      </c>
      <c r="B157" s="65">
        <v>629991011</v>
      </c>
      <c r="C157" s="90" t="s">
        <v>255</v>
      </c>
      <c r="D157" s="87" t="s">
        <v>109</v>
      </c>
      <c r="E157" s="88">
        <f>SUM(E158:E162)</f>
        <v>43.088799999999999</v>
      </c>
      <c r="F157" s="89"/>
      <c r="G157" s="69">
        <f>ROUND(E157*F157,2)</f>
        <v>0</v>
      </c>
      <c r="H157" s="24"/>
      <c r="I157" s="24"/>
      <c r="J157" s="24"/>
    </row>
    <row r="158" spans="1:10" ht="20.100000000000001" customHeight="1">
      <c r="A158" s="40"/>
      <c r="B158" s="41" t="s">
        <v>256</v>
      </c>
      <c r="C158" s="48" t="s">
        <v>257</v>
      </c>
      <c r="D158" s="46"/>
      <c r="E158" s="255">
        <f>0.56*0.9+0.7*0.4+1.08*1.12+1.08*1.12+0.81*1.09+0.9*2</f>
        <v>5.8861000000000008</v>
      </c>
      <c r="F158" s="47"/>
      <c r="G158" s="44"/>
      <c r="H158" s="24"/>
      <c r="I158" s="24"/>
      <c r="J158" s="24"/>
    </row>
    <row r="159" spans="1:10" ht="20.100000000000001" customHeight="1">
      <c r="A159" s="219"/>
      <c r="B159" s="220" t="s">
        <v>117</v>
      </c>
      <c r="C159" s="256" t="s">
        <v>258</v>
      </c>
      <c r="D159" s="257"/>
      <c r="E159" s="258">
        <f>1.16*1.76+1.17*1.85+1.16*1.85+1.21*1.54+2.9*1.82+1.4*1.8+1.25*1.3</f>
        <v>17.638499999999997</v>
      </c>
      <c r="F159" s="259"/>
      <c r="G159" s="223"/>
      <c r="H159" s="24"/>
      <c r="I159" s="24"/>
      <c r="J159" s="24"/>
    </row>
    <row r="160" spans="1:10" ht="20.100000000000001" customHeight="1">
      <c r="A160" s="219"/>
      <c r="B160" s="220"/>
      <c r="C160" s="256" t="s">
        <v>259</v>
      </c>
      <c r="D160" s="257"/>
      <c r="E160" s="258">
        <f>0.98*2.13+1.22*1.3+0.82*1.18+0.82*1.18+0.82*1.18</f>
        <v>6.5762</v>
      </c>
      <c r="F160" s="259"/>
      <c r="G160" s="223"/>
      <c r="H160" s="24"/>
      <c r="I160" s="24"/>
      <c r="J160" s="24"/>
    </row>
    <row r="161" spans="1:10" ht="20.100000000000001" customHeight="1">
      <c r="A161" s="219"/>
      <c r="B161" s="220" t="s">
        <v>118</v>
      </c>
      <c r="C161" s="256" t="s">
        <v>260</v>
      </c>
      <c r="D161" s="257"/>
      <c r="E161" s="258">
        <f>1*1.32+1*2.18+1*1.28+1*1.28+1*1.32+1*1.32+1*1.28+1*1.28</f>
        <v>11.26</v>
      </c>
      <c r="F161" s="259"/>
      <c r="G161" s="223"/>
      <c r="H161" s="24"/>
      <c r="I161" s="24"/>
      <c r="J161" s="24"/>
    </row>
    <row r="162" spans="1:10" ht="20.100000000000001" customHeight="1" thickBot="1">
      <c r="A162" s="219"/>
      <c r="B162" s="220"/>
      <c r="C162" s="256" t="s">
        <v>261</v>
      </c>
      <c r="D162" s="257"/>
      <c r="E162" s="258">
        <f>0.8*1.08+0.8*1.08</f>
        <v>1.7280000000000002</v>
      </c>
      <c r="F162" s="259"/>
      <c r="G162" s="223"/>
      <c r="H162" s="24"/>
      <c r="I162" s="24"/>
      <c r="J162" s="24"/>
    </row>
    <row r="163" spans="1:10" ht="20.100000000000001" customHeight="1" thickBot="1">
      <c r="A163" s="64">
        <v>56</v>
      </c>
      <c r="B163" s="65">
        <v>629135101</v>
      </c>
      <c r="C163" s="90" t="s">
        <v>380</v>
      </c>
      <c r="D163" s="87" t="s">
        <v>0</v>
      </c>
      <c r="E163" s="88">
        <f>E164</f>
        <v>24.049999999999997</v>
      </c>
      <c r="F163" s="89"/>
      <c r="G163" s="69">
        <f>ROUND(E163*F163,2)</f>
        <v>0</v>
      </c>
      <c r="H163" s="24">
        <v>1.0319999999999999E-2</v>
      </c>
      <c r="I163" s="24">
        <f>E163*H163</f>
        <v>0.24819599999999994</v>
      </c>
      <c r="J163" s="24"/>
    </row>
    <row r="164" spans="1:10" ht="20.100000000000001" customHeight="1" thickBot="1">
      <c r="A164" s="219"/>
      <c r="B164" s="220"/>
      <c r="C164" s="256" t="s">
        <v>381</v>
      </c>
      <c r="D164" s="257"/>
      <c r="E164" s="258">
        <f>3.41+14.74+5.9</f>
        <v>24.049999999999997</v>
      </c>
      <c r="F164" s="259"/>
      <c r="G164" s="223"/>
      <c r="H164" s="24"/>
      <c r="I164" s="24"/>
      <c r="J164" s="24"/>
    </row>
    <row r="165" spans="1:10" ht="20.100000000000001" customHeight="1" thickBot="1">
      <c r="A165" s="64">
        <v>57</v>
      </c>
      <c r="B165" s="65">
        <v>783827425</v>
      </c>
      <c r="C165" s="90" t="s">
        <v>263</v>
      </c>
      <c r="D165" s="87" t="s">
        <v>109</v>
      </c>
      <c r="E165" s="88">
        <f>E147</f>
        <v>315.47850000000005</v>
      </c>
      <c r="F165" s="89"/>
      <c r="G165" s="69">
        <f>ROUND(E165*F165,2)</f>
        <v>0</v>
      </c>
      <c r="H165" s="24">
        <v>7.2000000000000005E-4</v>
      </c>
      <c r="I165" s="24">
        <f>E165*H165</f>
        <v>0.22714452000000004</v>
      </c>
      <c r="J165" s="24"/>
    </row>
    <row r="166" spans="1:10" ht="20.100000000000001" customHeight="1" thickBot="1">
      <c r="A166" s="213"/>
      <c r="B166" s="214"/>
      <c r="C166" s="251"/>
      <c r="D166" s="252"/>
      <c r="E166" s="253"/>
      <c r="F166" s="254"/>
      <c r="G166" s="217"/>
      <c r="H166" s="24"/>
      <c r="I166" s="24"/>
      <c r="J166" s="24"/>
    </row>
    <row r="167" spans="1:10" ht="20.100000000000001" customHeight="1" thickBot="1">
      <c r="A167" s="64">
        <v>58</v>
      </c>
      <c r="B167" s="65" t="s">
        <v>146</v>
      </c>
      <c r="C167" s="90" t="s">
        <v>390</v>
      </c>
      <c r="D167" s="87" t="s">
        <v>109</v>
      </c>
      <c r="E167" s="88">
        <f>E168</f>
        <v>2.16</v>
      </c>
      <c r="F167" s="89"/>
      <c r="G167" s="69">
        <f>ROUND(E167*F167,2)</f>
        <v>0</v>
      </c>
      <c r="H167" s="24">
        <v>7.2000000000000005E-4</v>
      </c>
      <c r="I167" s="24">
        <f>E167*H167</f>
        <v>1.5552000000000003E-3</v>
      </c>
      <c r="J167" s="24"/>
    </row>
    <row r="168" spans="1:10" ht="20.100000000000001" customHeight="1">
      <c r="A168" s="213"/>
      <c r="B168" s="214" t="s">
        <v>167</v>
      </c>
      <c r="C168" s="251" t="s">
        <v>389</v>
      </c>
      <c r="D168" s="252"/>
      <c r="E168" s="253">
        <f>0.6*1.8*2</f>
        <v>2.16</v>
      </c>
      <c r="F168" s="254"/>
      <c r="G168" s="217"/>
      <c r="H168" s="24"/>
      <c r="I168" s="24"/>
      <c r="J168" s="24"/>
    </row>
    <row r="169" spans="1:10" ht="20.100000000000001" customHeight="1" thickBot="1">
      <c r="A169" s="213"/>
      <c r="B169" s="214"/>
      <c r="C169" s="251"/>
      <c r="D169" s="252"/>
      <c r="E169" s="253"/>
      <c r="F169" s="254"/>
      <c r="G169" s="217"/>
      <c r="H169" s="24"/>
      <c r="I169" s="24"/>
      <c r="J169" s="24"/>
    </row>
    <row r="170" spans="1:10" ht="20.100000000000001" customHeight="1" thickBot="1">
      <c r="A170" s="64">
        <v>59</v>
      </c>
      <c r="B170" s="65">
        <v>783897603</v>
      </c>
      <c r="C170" s="90" t="s">
        <v>264</v>
      </c>
      <c r="D170" s="87" t="s">
        <v>109</v>
      </c>
      <c r="E170" s="88">
        <f>E165</f>
        <v>315.47850000000005</v>
      </c>
      <c r="F170" s="89"/>
      <c r="G170" s="69">
        <f>ROUND(E170*F170,2)</f>
        <v>0</v>
      </c>
      <c r="H170" s="24"/>
      <c r="I170" s="24"/>
      <c r="J170" s="24"/>
    </row>
    <row r="171" spans="1:10" ht="20.100000000000001" customHeight="1" thickBot="1">
      <c r="A171" s="213"/>
      <c r="B171" s="214"/>
      <c r="C171" s="251"/>
      <c r="D171" s="252"/>
      <c r="E171" s="253"/>
      <c r="F171" s="254"/>
      <c r="G171" s="217"/>
      <c r="H171" s="24"/>
      <c r="I171" s="24"/>
      <c r="J171" s="24"/>
    </row>
    <row r="172" spans="1:10" ht="20.100000000000001" customHeight="1" thickBot="1">
      <c r="A172" s="64">
        <v>60</v>
      </c>
      <c r="B172" s="65">
        <v>783897607</v>
      </c>
      <c r="C172" s="90" t="s">
        <v>265</v>
      </c>
      <c r="D172" s="87" t="s">
        <v>109</v>
      </c>
      <c r="E172" s="88">
        <f>E170</f>
        <v>315.47850000000005</v>
      </c>
      <c r="F172" s="89"/>
      <c r="G172" s="69">
        <f>ROUND(E172*F172,2)</f>
        <v>0</v>
      </c>
      <c r="H172" s="24"/>
      <c r="I172" s="24"/>
      <c r="J172" s="24"/>
    </row>
    <row r="173" spans="1:10" ht="20.100000000000001" customHeight="1">
      <c r="A173" s="213"/>
      <c r="B173" s="214"/>
      <c r="C173" s="251"/>
      <c r="D173" s="252"/>
      <c r="E173" s="253"/>
      <c r="F173" s="254"/>
      <c r="G173" s="217"/>
      <c r="H173" s="24"/>
      <c r="I173" s="24"/>
      <c r="J173" s="24"/>
    </row>
    <row r="174" spans="1:10" ht="20.100000000000001" customHeight="1" thickBot="1">
      <c r="A174" s="59"/>
      <c r="B174" s="60">
        <v>5</v>
      </c>
      <c r="C174" s="61" t="s">
        <v>311</v>
      </c>
      <c r="D174" s="60"/>
      <c r="E174" s="62"/>
      <c r="F174" s="63"/>
      <c r="G174" s="63">
        <f>SUM(G175:G193)</f>
        <v>0</v>
      </c>
      <c r="H174" s="24"/>
      <c r="I174" s="24"/>
      <c r="J174" s="24"/>
    </row>
    <row r="175" spans="1:10" ht="20.100000000000001" customHeight="1" thickBot="1">
      <c r="A175" s="64">
        <v>61</v>
      </c>
      <c r="B175" s="65">
        <v>941111111</v>
      </c>
      <c r="C175" s="90" t="s">
        <v>266</v>
      </c>
      <c r="D175" s="87" t="s">
        <v>109</v>
      </c>
      <c r="E175" s="88">
        <f>SUM(E176:E179)</f>
        <v>445.17</v>
      </c>
      <c r="F175" s="89"/>
      <c r="G175" s="69">
        <f>ROUND(E175*F175,2)</f>
        <v>0</v>
      </c>
      <c r="H175" s="24"/>
      <c r="I175" s="24"/>
      <c r="J175" s="24"/>
    </row>
    <row r="176" spans="1:10" ht="20.100000000000001" customHeight="1">
      <c r="A176" s="34"/>
      <c r="B176" s="35"/>
      <c r="C176" s="31" t="s">
        <v>267</v>
      </c>
      <c r="D176" s="35"/>
      <c r="E176" s="37">
        <f>14.13*9+4*4</f>
        <v>143.17000000000002</v>
      </c>
      <c r="F176" s="36"/>
      <c r="G176" s="36"/>
      <c r="H176" s="24"/>
      <c r="I176" s="24"/>
      <c r="J176" s="24"/>
    </row>
    <row r="177" spans="1:10" ht="20.100000000000001" customHeight="1">
      <c r="A177" s="34"/>
      <c r="B177" s="35"/>
      <c r="C177" s="31" t="s">
        <v>268</v>
      </c>
      <c r="D177" s="35"/>
      <c r="E177" s="37">
        <f>9*9+3.75*6</f>
        <v>103.5</v>
      </c>
      <c r="F177" s="36"/>
      <c r="G177" s="36"/>
      <c r="H177" s="24"/>
      <c r="I177" s="24"/>
      <c r="J177" s="24"/>
    </row>
    <row r="178" spans="1:10" ht="20.100000000000001" customHeight="1">
      <c r="A178" s="34"/>
      <c r="B178" s="35"/>
      <c r="C178" s="31" t="s">
        <v>269</v>
      </c>
      <c r="D178" s="35"/>
      <c r="E178" s="37">
        <f>7.5*9+10*6</f>
        <v>127.5</v>
      </c>
      <c r="F178" s="36"/>
      <c r="G178" s="36"/>
      <c r="H178" s="24"/>
      <c r="I178" s="24"/>
      <c r="J178" s="24"/>
    </row>
    <row r="179" spans="1:10" ht="20.100000000000001" customHeight="1" thickBot="1">
      <c r="A179" s="34"/>
      <c r="B179" s="35"/>
      <c r="C179" s="31" t="s">
        <v>270</v>
      </c>
      <c r="D179" s="35"/>
      <c r="E179" s="37">
        <f>6.5*5+5.5*7</f>
        <v>71</v>
      </c>
      <c r="F179" s="36"/>
      <c r="G179" s="36"/>
      <c r="H179" s="24"/>
      <c r="I179" s="24"/>
      <c r="J179" s="24"/>
    </row>
    <row r="180" spans="1:10" ht="20.100000000000001" customHeight="1" thickBot="1">
      <c r="A180" s="64">
        <v>62</v>
      </c>
      <c r="B180" s="65">
        <v>941111211</v>
      </c>
      <c r="C180" s="90" t="s">
        <v>271</v>
      </c>
      <c r="D180" s="87" t="s">
        <v>109</v>
      </c>
      <c r="E180" s="88">
        <f>E175*60</f>
        <v>26710.2</v>
      </c>
      <c r="F180" s="89"/>
      <c r="G180" s="69">
        <f>ROUND(E180*F180,2)</f>
        <v>0</v>
      </c>
      <c r="H180" s="24"/>
      <c r="I180" s="24"/>
      <c r="J180" s="24"/>
    </row>
    <row r="181" spans="1:10" ht="20.100000000000001" customHeight="1" thickBot="1">
      <c r="A181" s="34"/>
      <c r="B181" s="35"/>
      <c r="C181" s="31"/>
      <c r="D181" s="35"/>
      <c r="E181" s="37"/>
      <c r="F181" s="36"/>
      <c r="G181" s="36"/>
      <c r="H181" s="24"/>
      <c r="I181" s="24"/>
      <c r="J181" s="24"/>
    </row>
    <row r="182" spans="1:10" ht="20.100000000000001" customHeight="1" thickBot="1">
      <c r="A182" s="64">
        <v>63</v>
      </c>
      <c r="B182" s="65">
        <v>941111811</v>
      </c>
      <c r="C182" s="90" t="s">
        <v>272</v>
      </c>
      <c r="D182" s="87" t="s">
        <v>109</v>
      </c>
      <c r="E182" s="88">
        <f>E175</f>
        <v>445.17</v>
      </c>
      <c r="F182" s="89"/>
      <c r="G182" s="69">
        <f>ROUND(E182*F182,2)</f>
        <v>0</v>
      </c>
      <c r="H182" s="24"/>
      <c r="I182" s="24"/>
      <c r="J182" s="24"/>
    </row>
    <row r="183" spans="1:10" ht="20.100000000000001" customHeight="1" thickBot="1">
      <c r="A183" s="34"/>
      <c r="B183" s="35"/>
      <c r="C183" s="31"/>
      <c r="D183" s="35"/>
      <c r="E183" s="37"/>
      <c r="F183" s="36"/>
      <c r="G183" s="36"/>
      <c r="H183" s="24"/>
      <c r="I183" s="24"/>
      <c r="J183" s="24"/>
    </row>
    <row r="184" spans="1:10" ht="20.100000000000001" customHeight="1" thickBot="1">
      <c r="A184" s="64">
        <v>64</v>
      </c>
      <c r="B184" s="65">
        <v>944511111</v>
      </c>
      <c r="C184" s="90" t="s">
        <v>275</v>
      </c>
      <c r="D184" s="87" t="s">
        <v>109</v>
      </c>
      <c r="E184" s="88">
        <f>E182</f>
        <v>445.17</v>
      </c>
      <c r="F184" s="89"/>
      <c r="G184" s="69">
        <f>ROUND(E184*F184,2)</f>
        <v>0</v>
      </c>
      <c r="H184" s="24"/>
      <c r="I184" s="24"/>
      <c r="J184" s="24"/>
    </row>
    <row r="185" spans="1:10" ht="20.100000000000001" customHeight="1" thickBot="1">
      <c r="A185" s="213"/>
      <c r="B185" s="214"/>
      <c r="C185" s="251"/>
      <c r="D185" s="252"/>
      <c r="E185" s="253"/>
      <c r="F185" s="254"/>
      <c r="G185" s="217"/>
      <c r="H185" s="24"/>
      <c r="I185" s="24"/>
      <c r="J185" s="24"/>
    </row>
    <row r="186" spans="1:10" ht="20.100000000000001" customHeight="1" thickBot="1">
      <c r="A186" s="64">
        <v>65</v>
      </c>
      <c r="B186" s="65">
        <v>944511211</v>
      </c>
      <c r="C186" s="90" t="s">
        <v>273</v>
      </c>
      <c r="D186" s="87" t="s">
        <v>109</v>
      </c>
      <c r="E186" s="88">
        <f>E184*60</f>
        <v>26710.2</v>
      </c>
      <c r="F186" s="89"/>
      <c r="G186" s="69">
        <f>ROUND(E186*F186,2)</f>
        <v>0</v>
      </c>
      <c r="H186" s="24"/>
      <c r="I186" s="24"/>
      <c r="J186" s="24"/>
    </row>
    <row r="187" spans="1:10" ht="20.100000000000001" customHeight="1" thickBot="1">
      <c r="A187" s="213"/>
      <c r="B187" s="214"/>
      <c r="C187" s="251"/>
      <c r="D187" s="252"/>
      <c r="E187" s="253"/>
      <c r="F187" s="254"/>
      <c r="G187" s="217"/>
      <c r="H187" s="24"/>
      <c r="I187" s="24"/>
      <c r="J187" s="24"/>
    </row>
    <row r="188" spans="1:10" ht="20.100000000000001" customHeight="1" thickBot="1">
      <c r="A188" s="64">
        <v>66</v>
      </c>
      <c r="B188" s="65">
        <v>944511811</v>
      </c>
      <c r="C188" s="90" t="s">
        <v>274</v>
      </c>
      <c r="D188" s="87" t="s">
        <v>109</v>
      </c>
      <c r="E188" s="88">
        <f>E184</f>
        <v>445.17</v>
      </c>
      <c r="F188" s="89"/>
      <c r="G188" s="69">
        <f>ROUND(E188*F188,2)</f>
        <v>0</v>
      </c>
      <c r="H188" s="24"/>
      <c r="I188" s="24"/>
      <c r="J188" s="24"/>
    </row>
    <row r="189" spans="1:10" ht="20.100000000000001" customHeight="1" thickBot="1">
      <c r="A189" s="213"/>
      <c r="B189" s="214"/>
      <c r="C189" s="251"/>
      <c r="D189" s="252"/>
      <c r="E189" s="253"/>
      <c r="F189" s="254"/>
      <c r="G189" s="217"/>
      <c r="H189" s="24"/>
      <c r="I189" s="24"/>
      <c r="J189" s="24"/>
    </row>
    <row r="190" spans="1:10" ht="20.100000000000001" customHeight="1" thickBot="1">
      <c r="A190" s="64">
        <v>67</v>
      </c>
      <c r="B190" s="65">
        <v>941211111</v>
      </c>
      <c r="C190" s="90" t="s">
        <v>276</v>
      </c>
      <c r="D190" s="87" t="s">
        <v>109</v>
      </c>
      <c r="E190" s="88">
        <f>SUM(E191:E192)</f>
        <v>31.5</v>
      </c>
      <c r="F190" s="89"/>
      <c r="G190" s="69">
        <f>ROUND(E190*F190,2)</f>
        <v>0</v>
      </c>
      <c r="H190" s="24"/>
      <c r="I190" s="24"/>
      <c r="J190" s="24"/>
    </row>
    <row r="191" spans="1:10" ht="20.100000000000001" customHeight="1">
      <c r="A191" s="219"/>
      <c r="B191" s="220"/>
      <c r="C191" s="256" t="s">
        <v>277</v>
      </c>
      <c r="D191" s="257"/>
      <c r="E191" s="264">
        <f>6.2*3.5</f>
        <v>21.7</v>
      </c>
      <c r="F191" s="259"/>
      <c r="G191" s="223"/>
      <c r="H191" s="24"/>
      <c r="I191" s="24"/>
      <c r="J191" s="24"/>
    </row>
    <row r="192" spans="1:10" ht="20.100000000000001" customHeight="1" thickBot="1">
      <c r="A192" s="219"/>
      <c r="B192" s="220"/>
      <c r="C192" s="256" t="s">
        <v>278</v>
      </c>
      <c r="D192" s="257"/>
      <c r="E192" s="264">
        <f>2.8*3.5</f>
        <v>9.7999999999999989</v>
      </c>
      <c r="F192" s="259"/>
      <c r="G192" s="223"/>
      <c r="H192" s="24"/>
      <c r="I192" s="24"/>
      <c r="J192" s="24"/>
    </row>
    <row r="193" spans="1:10" ht="20.100000000000001" customHeight="1" thickBot="1">
      <c r="A193" s="64">
        <v>68</v>
      </c>
      <c r="B193" s="65">
        <v>941211811</v>
      </c>
      <c r="C193" s="90" t="s">
        <v>279</v>
      </c>
      <c r="D193" s="87" t="s">
        <v>109</v>
      </c>
      <c r="E193" s="88">
        <f>E190</f>
        <v>31.5</v>
      </c>
      <c r="F193" s="89"/>
      <c r="G193" s="69">
        <f>ROUND(E193*F193,2)</f>
        <v>0</v>
      </c>
      <c r="H193" s="24"/>
      <c r="I193" s="24"/>
      <c r="J193" s="24"/>
    </row>
    <row r="194" spans="1:10" ht="20.100000000000001" customHeight="1">
      <c r="A194" s="213"/>
      <c r="B194" s="214"/>
      <c r="C194" s="251"/>
      <c r="D194" s="252"/>
      <c r="E194" s="253"/>
      <c r="F194" s="254"/>
      <c r="G194" s="217"/>
      <c r="H194" s="24"/>
      <c r="I194" s="24"/>
      <c r="J194" s="24"/>
    </row>
    <row r="195" spans="1:10" ht="20.100000000000001" customHeight="1" thickBot="1">
      <c r="A195" s="213"/>
      <c r="B195" s="270">
        <v>6</v>
      </c>
      <c r="C195" s="269" t="s">
        <v>291</v>
      </c>
      <c r="D195" s="252"/>
      <c r="E195" s="253"/>
      <c r="F195" s="254"/>
      <c r="G195" s="271">
        <f>SUM(G196)</f>
        <v>0</v>
      </c>
      <c r="H195" s="24"/>
      <c r="I195" s="24"/>
      <c r="J195" s="24"/>
    </row>
    <row r="196" spans="1:10" ht="20.100000000000001" customHeight="1" thickBot="1">
      <c r="A196" s="64">
        <v>69</v>
      </c>
      <c r="B196" s="65">
        <v>998011002</v>
      </c>
      <c r="C196" s="66" t="s">
        <v>292</v>
      </c>
      <c r="D196" s="65" t="s">
        <v>113</v>
      </c>
      <c r="E196" s="67">
        <f>I196</f>
        <v>16.759254864039999</v>
      </c>
      <c r="F196" s="68"/>
      <c r="G196" s="69">
        <f>ROUND(E196*F196,2)</f>
        <v>0</v>
      </c>
      <c r="H196" s="24"/>
      <c r="I196" s="218">
        <f>SUM(I108:I195)</f>
        <v>16.759254864039999</v>
      </c>
      <c r="J196" s="24"/>
    </row>
    <row r="197" spans="1:10" ht="20.100000000000001" customHeight="1">
      <c r="A197" s="213"/>
      <c r="B197" s="214"/>
      <c r="D197" s="252"/>
      <c r="E197" s="253"/>
      <c r="F197" s="254"/>
      <c r="G197" s="217"/>
      <c r="H197" s="24"/>
      <c r="I197" s="24"/>
      <c r="J197" s="24"/>
    </row>
    <row r="198" spans="1:10" ht="20.100000000000001" customHeight="1" thickBot="1">
      <c r="A198" s="213"/>
      <c r="B198" s="270">
        <v>7</v>
      </c>
      <c r="C198" s="269" t="s">
        <v>335</v>
      </c>
      <c r="D198" s="252"/>
      <c r="E198" s="253"/>
      <c r="F198" s="254"/>
      <c r="G198" s="271">
        <f>SUM(G199:G207)</f>
        <v>0</v>
      </c>
      <c r="H198" s="24"/>
      <c r="I198" s="24"/>
      <c r="J198" s="24"/>
    </row>
    <row r="199" spans="1:10" ht="20.100000000000001" customHeight="1" thickBot="1">
      <c r="A199" s="64">
        <v>70</v>
      </c>
      <c r="B199" s="65">
        <v>762822933</v>
      </c>
      <c r="C199" s="66" t="s">
        <v>339</v>
      </c>
      <c r="D199" s="65" t="s">
        <v>150</v>
      </c>
      <c r="E199" s="67">
        <v>3.25</v>
      </c>
      <c r="F199" s="68"/>
      <c r="G199" s="69">
        <f>ROUND(E199*F199,2)</f>
        <v>0</v>
      </c>
      <c r="H199" s="24"/>
      <c r="I199" s="24"/>
      <c r="J199" s="24"/>
    </row>
    <row r="200" spans="1:10" ht="20.100000000000001" customHeight="1" thickBot="1">
      <c r="A200" s="213"/>
      <c r="B200" s="214"/>
      <c r="D200" s="252"/>
      <c r="E200" s="253"/>
      <c r="F200" s="254"/>
      <c r="G200" s="217"/>
      <c r="H200" s="24"/>
      <c r="I200" s="24"/>
      <c r="J200" s="24"/>
    </row>
    <row r="201" spans="1:10" ht="20.100000000000001" customHeight="1" thickBot="1">
      <c r="A201" s="81">
        <v>71</v>
      </c>
      <c r="B201" s="244" t="s">
        <v>214</v>
      </c>
      <c r="C201" s="83" t="s">
        <v>336</v>
      </c>
      <c r="D201" s="82" t="s">
        <v>337</v>
      </c>
      <c r="E201" s="84">
        <f>0.16*0.18*3.25*1.1</f>
        <v>0.10296000000000001</v>
      </c>
      <c r="F201" s="85"/>
      <c r="G201" s="86">
        <f>ROUND(E201*F201,2)</f>
        <v>0</v>
      </c>
      <c r="H201" s="24"/>
      <c r="I201" s="24"/>
      <c r="J201" s="24"/>
    </row>
    <row r="202" spans="1:10" ht="20.100000000000001" customHeight="1" thickBot="1">
      <c r="A202" s="274"/>
      <c r="B202" s="275"/>
      <c r="C202" s="276" t="s">
        <v>338</v>
      </c>
      <c r="D202" s="277"/>
      <c r="E202" s="278"/>
      <c r="F202" s="279"/>
      <c r="G202" s="279"/>
      <c r="H202" s="24"/>
      <c r="I202" s="24"/>
      <c r="J202" s="24"/>
    </row>
    <row r="203" spans="1:10" ht="20.100000000000001" customHeight="1" thickBot="1">
      <c r="A203" s="64">
        <v>72</v>
      </c>
      <c r="B203" s="65">
        <v>762795000</v>
      </c>
      <c r="C203" s="66" t="s">
        <v>340</v>
      </c>
      <c r="D203" s="65" t="s">
        <v>150</v>
      </c>
      <c r="E203" s="67">
        <f>E201</f>
        <v>0.10296000000000001</v>
      </c>
      <c r="F203" s="68"/>
      <c r="G203" s="69">
        <f>ROUND(E203*F203,2)</f>
        <v>0</v>
      </c>
      <c r="H203" s="24"/>
      <c r="I203" s="24"/>
      <c r="J203" s="24"/>
    </row>
    <row r="204" spans="1:10" ht="20.100000000000001" customHeight="1" thickBot="1">
      <c r="A204" s="213"/>
      <c r="B204" s="214"/>
      <c r="C204" s="215"/>
      <c r="D204" s="214"/>
      <c r="E204" s="216"/>
      <c r="F204" s="217"/>
      <c r="G204" s="217"/>
      <c r="H204" s="24"/>
      <c r="I204" s="24"/>
      <c r="J204" s="24"/>
    </row>
    <row r="205" spans="1:10" ht="20.100000000000001" customHeight="1" thickBot="1">
      <c r="A205" s="64">
        <v>73</v>
      </c>
      <c r="B205" s="65">
        <v>762812934</v>
      </c>
      <c r="C205" s="66" t="s">
        <v>355</v>
      </c>
      <c r="D205" s="65" t="s">
        <v>109</v>
      </c>
      <c r="E205" s="67">
        <v>3.25</v>
      </c>
      <c r="F205" s="68"/>
      <c r="G205" s="69">
        <f>ROUND(E205*F205,2)</f>
        <v>0</v>
      </c>
      <c r="H205" s="24"/>
      <c r="I205" s="24"/>
      <c r="J205" s="24"/>
    </row>
    <row r="206" spans="1:10" ht="20.100000000000001" customHeight="1" thickBot="1">
      <c r="A206" s="213"/>
      <c r="B206" s="214"/>
      <c r="C206" s="215"/>
      <c r="D206" s="214"/>
      <c r="E206" s="216"/>
      <c r="F206" s="217"/>
      <c r="G206" s="217"/>
      <c r="H206" s="24"/>
      <c r="I206" s="24"/>
      <c r="J206" s="24"/>
    </row>
    <row r="207" spans="1:10" ht="20.100000000000001" customHeight="1" thickBot="1">
      <c r="A207" s="64">
        <v>74</v>
      </c>
      <c r="B207" s="65">
        <v>998762202</v>
      </c>
      <c r="C207" s="66" t="s">
        <v>361</v>
      </c>
      <c r="D207" s="65" t="s">
        <v>359</v>
      </c>
      <c r="E207" s="67">
        <v>5.58</v>
      </c>
      <c r="F207" s="68"/>
      <c r="G207" s="69">
        <f>E207*F207*0.01</f>
        <v>0</v>
      </c>
      <c r="H207" s="24"/>
      <c r="I207" s="24"/>
      <c r="J207" s="24"/>
    </row>
    <row r="208" spans="1:10" ht="20.100000000000001" customHeight="1">
      <c r="A208" s="213"/>
      <c r="B208" s="214"/>
      <c r="C208" s="215"/>
      <c r="D208" s="214"/>
      <c r="E208" s="216"/>
      <c r="F208" s="217"/>
      <c r="G208" s="217"/>
      <c r="H208" s="24"/>
      <c r="I208" s="24"/>
      <c r="J208" s="24"/>
    </row>
    <row r="209" spans="1:10" ht="20.100000000000001" customHeight="1" thickBot="1">
      <c r="A209" s="59"/>
      <c r="B209" s="60">
        <v>8</v>
      </c>
      <c r="C209" s="61" t="s">
        <v>312</v>
      </c>
      <c r="D209" s="60"/>
      <c r="E209" s="62"/>
      <c r="F209" s="63"/>
      <c r="G209" s="63">
        <f>SUM(G210:G232)</f>
        <v>0</v>
      </c>
      <c r="H209" s="24"/>
      <c r="I209" s="24"/>
      <c r="J209" s="24"/>
    </row>
    <row r="210" spans="1:10" ht="20.100000000000001" customHeight="1" thickBot="1">
      <c r="A210" s="64">
        <v>75</v>
      </c>
      <c r="B210" s="94">
        <v>764226404</v>
      </c>
      <c r="C210" s="95" t="s">
        <v>345</v>
      </c>
      <c r="D210" s="96" t="s">
        <v>0</v>
      </c>
      <c r="E210" s="97">
        <f>SUM(E211:E211)</f>
        <v>3.4899999999999998</v>
      </c>
      <c r="F210" s="98"/>
      <c r="G210" s="69">
        <f>ROUND(E210*F210,2)</f>
        <v>0</v>
      </c>
      <c r="H210" s="24"/>
      <c r="I210" s="24"/>
      <c r="J210" s="24"/>
    </row>
    <row r="211" spans="1:10" ht="20.100000000000001" customHeight="1" thickBot="1">
      <c r="A211" s="40"/>
      <c r="B211" s="49"/>
      <c r="C211" s="50" t="s">
        <v>346</v>
      </c>
      <c r="D211" s="49"/>
      <c r="E211" s="51">
        <f>1.16*2+1.17</f>
        <v>3.4899999999999998</v>
      </c>
      <c r="F211" s="52"/>
      <c r="G211" s="52"/>
      <c r="H211" s="24"/>
      <c r="I211" s="24"/>
      <c r="J211" s="24"/>
    </row>
    <row r="212" spans="1:10" ht="20.100000000000001" customHeight="1" thickBot="1">
      <c r="A212" s="64">
        <v>76</v>
      </c>
      <c r="B212" s="94">
        <v>764226403</v>
      </c>
      <c r="C212" s="95" t="s">
        <v>347</v>
      </c>
      <c r="D212" s="96" t="s">
        <v>0</v>
      </c>
      <c r="E212" s="97">
        <f>SUM(E213:E213)</f>
        <v>14.74</v>
      </c>
      <c r="F212" s="98"/>
      <c r="G212" s="69">
        <f>ROUND(E212*F212,2)</f>
        <v>0</v>
      </c>
      <c r="H212" s="24"/>
      <c r="I212" s="24"/>
      <c r="J212" s="24"/>
    </row>
    <row r="213" spans="1:10" ht="20.100000000000001" customHeight="1" thickBot="1">
      <c r="A213" s="40"/>
      <c r="B213" s="49"/>
      <c r="C213" s="50" t="s">
        <v>348</v>
      </c>
      <c r="D213" s="49"/>
      <c r="E213" s="51">
        <f>1.21+1.25+1.22+0.82*3+1*7+0.8*2</f>
        <v>14.74</v>
      </c>
      <c r="F213" s="52"/>
      <c r="G213" s="52"/>
      <c r="H213" s="24"/>
      <c r="I213" s="24"/>
      <c r="J213" s="24"/>
    </row>
    <row r="214" spans="1:10" ht="20.100000000000001" customHeight="1" thickBot="1">
      <c r="A214" s="64">
        <v>77</v>
      </c>
      <c r="B214" s="94">
        <v>764227403</v>
      </c>
      <c r="C214" s="95" t="s">
        <v>349</v>
      </c>
      <c r="D214" s="96" t="s">
        <v>0</v>
      </c>
      <c r="E214" s="97">
        <f>SUM(E215:E215)</f>
        <v>5.9</v>
      </c>
      <c r="F214" s="98"/>
      <c r="G214" s="69">
        <f>ROUND(E214*F214,2)</f>
        <v>0</v>
      </c>
      <c r="H214" s="24"/>
      <c r="I214" s="24"/>
      <c r="J214" s="24"/>
    </row>
    <row r="215" spans="1:10" ht="20.100000000000001" customHeight="1" thickBot="1">
      <c r="A215" s="40"/>
      <c r="B215" s="49"/>
      <c r="C215" s="50" t="s">
        <v>350</v>
      </c>
      <c r="D215" s="49"/>
      <c r="E215" s="51">
        <f>3.78+2.12</f>
        <v>5.9</v>
      </c>
      <c r="F215" s="52"/>
      <c r="G215" s="52"/>
      <c r="H215" s="24"/>
      <c r="I215" s="24"/>
      <c r="J215" s="24"/>
    </row>
    <row r="216" spans="1:10" ht="20.100000000000001" customHeight="1" thickBot="1">
      <c r="A216" s="64">
        <v>78</v>
      </c>
      <c r="B216" s="94">
        <v>764321414</v>
      </c>
      <c r="C216" s="95" t="s">
        <v>351</v>
      </c>
      <c r="D216" s="96" t="s">
        <v>0</v>
      </c>
      <c r="E216" s="97">
        <f>E217</f>
        <v>9.1999999999999993</v>
      </c>
      <c r="F216" s="98"/>
      <c r="G216" s="69">
        <f>ROUND(E216*F216,2)</f>
        <v>0</v>
      </c>
      <c r="H216" s="24"/>
      <c r="I216" s="24"/>
      <c r="J216" s="24"/>
    </row>
    <row r="217" spans="1:10" ht="20.100000000000001" customHeight="1" thickBot="1">
      <c r="A217" s="29"/>
      <c r="B217" s="53"/>
      <c r="C217" s="54" t="s">
        <v>352</v>
      </c>
      <c r="D217" s="53"/>
      <c r="E217" s="55">
        <f>4+2+1.6*2</f>
        <v>9.1999999999999993</v>
      </c>
      <c r="F217" s="56"/>
      <c r="G217" s="56"/>
      <c r="H217" s="24"/>
      <c r="I217" s="24"/>
      <c r="J217" s="24"/>
    </row>
    <row r="218" spans="1:10" ht="20.100000000000001" customHeight="1" thickBot="1">
      <c r="A218" s="64">
        <v>79</v>
      </c>
      <c r="B218" s="94">
        <v>764528423</v>
      </c>
      <c r="C218" s="95" t="s">
        <v>353</v>
      </c>
      <c r="D218" s="96" t="s">
        <v>0</v>
      </c>
      <c r="E218" s="97">
        <f>E219</f>
        <v>20.5</v>
      </c>
      <c r="F218" s="98"/>
      <c r="G218" s="69">
        <f>ROUND(E218*F218,2)</f>
        <v>0</v>
      </c>
      <c r="H218" s="24"/>
      <c r="I218" s="24"/>
      <c r="J218" s="24"/>
    </row>
    <row r="219" spans="1:10" ht="20.100000000000001" customHeight="1" thickBot="1">
      <c r="A219" s="29"/>
      <c r="B219" s="53"/>
      <c r="C219" s="54" t="s">
        <v>354</v>
      </c>
      <c r="D219" s="53"/>
      <c r="E219" s="55">
        <f>8+4+4+4.5</f>
        <v>20.5</v>
      </c>
      <c r="F219" s="56"/>
      <c r="G219" s="56"/>
      <c r="H219" s="24"/>
      <c r="I219" s="24"/>
      <c r="J219" s="24"/>
    </row>
    <row r="220" spans="1:10" ht="20.100000000000001" customHeight="1" thickBot="1">
      <c r="A220" s="64">
        <v>80</v>
      </c>
      <c r="B220" s="94">
        <v>764101101</v>
      </c>
      <c r="C220" s="95" t="s">
        <v>356</v>
      </c>
      <c r="D220" s="96" t="s">
        <v>109</v>
      </c>
      <c r="E220" s="97">
        <f>E221</f>
        <v>3.25</v>
      </c>
      <c r="F220" s="98"/>
      <c r="G220" s="69">
        <f>ROUND(E220*F220,2)</f>
        <v>0</v>
      </c>
      <c r="H220" s="24"/>
      <c r="I220" s="24"/>
      <c r="J220" s="24"/>
    </row>
    <row r="221" spans="1:10" ht="20.100000000000001" customHeight="1" thickBot="1">
      <c r="A221" s="29"/>
      <c r="B221" s="53"/>
      <c r="C221" s="54" t="s">
        <v>194</v>
      </c>
      <c r="D221" s="53"/>
      <c r="E221" s="55">
        <f>3.25*1</f>
        <v>3.25</v>
      </c>
      <c r="F221" s="56"/>
      <c r="G221" s="56"/>
      <c r="H221" s="24"/>
      <c r="I221" s="24"/>
      <c r="J221" s="24"/>
    </row>
    <row r="222" spans="1:10" ht="20.100000000000001" customHeight="1" thickBot="1">
      <c r="A222" s="64">
        <v>81</v>
      </c>
      <c r="B222" s="94">
        <v>764001911</v>
      </c>
      <c r="C222" s="95" t="s">
        <v>357</v>
      </c>
      <c r="D222" s="96" t="s">
        <v>0</v>
      </c>
      <c r="E222" s="97">
        <f>E223</f>
        <v>6.5</v>
      </c>
      <c r="F222" s="98"/>
      <c r="G222" s="69">
        <f>ROUND(E222*F222,2)</f>
        <v>0</v>
      </c>
      <c r="H222" s="24"/>
      <c r="I222" s="24"/>
      <c r="J222" s="24"/>
    </row>
    <row r="223" spans="1:10" ht="20.100000000000001" customHeight="1" thickBot="1">
      <c r="A223" s="29"/>
      <c r="B223" s="53"/>
      <c r="C223" s="54" t="s">
        <v>358</v>
      </c>
      <c r="D223" s="53"/>
      <c r="E223" s="55">
        <f>3.25*2</f>
        <v>6.5</v>
      </c>
      <c r="F223" s="56"/>
      <c r="G223" s="56"/>
      <c r="H223" s="24"/>
      <c r="I223" s="24"/>
      <c r="J223" s="24"/>
    </row>
    <row r="224" spans="1:10" ht="20.100000000000001" customHeight="1" thickBot="1">
      <c r="A224" s="64">
        <v>82</v>
      </c>
      <c r="B224" s="94">
        <v>764501103</v>
      </c>
      <c r="C224" s="95" t="s">
        <v>387</v>
      </c>
      <c r="D224" s="96" t="s">
        <v>0</v>
      </c>
      <c r="E224" s="97">
        <f>E32</f>
        <v>45.5</v>
      </c>
      <c r="F224" s="98"/>
      <c r="G224" s="69">
        <f>ROUND(E224*F224,2)</f>
        <v>0</v>
      </c>
      <c r="H224" s="24"/>
      <c r="I224" s="24"/>
      <c r="J224" s="24"/>
    </row>
    <row r="225" spans="1:10" ht="20.100000000000001" customHeight="1" thickBot="1">
      <c r="A225" s="213"/>
      <c r="B225" s="260"/>
      <c r="C225" s="261"/>
      <c r="D225" s="260"/>
      <c r="E225" s="262"/>
      <c r="F225" s="263"/>
      <c r="G225" s="217"/>
      <c r="H225" s="24"/>
      <c r="I225" s="24"/>
      <c r="J225" s="24"/>
    </row>
    <row r="226" spans="1:10" ht="20.100000000000001" customHeight="1" thickBot="1">
      <c r="A226" s="64">
        <v>83</v>
      </c>
      <c r="B226" s="94">
        <v>764521404</v>
      </c>
      <c r="C226" s="95" t="s">
        <v>388</v>
      </c>
      <c r="D226" s="96" t="s">
        <v>0</v>
      </c>
      <c r="E226" s="97">
        <f>E27</f>
        <v>17.159999999999997</v>
      </c>
      <c r="F226" s="98"/>
      <c r="G226" s="69">
        <f>ROUND(E226*F226,2)</f>
        <v>0</v>
      </c>
      <c r="H226" s="24"/>
      <c r="I226" s="24"/>
      <c r="J226" s="24"/>
    </row>
    <row r="227" spans="1:10" ht="20.100000000000001" customHeight="1" thickBot="1">
      <c r="A227" s="213"/>
      <c r="B227" s="260"/>
      <c r="C227" s="261"/>
      <c r="D227" s="260"/>
      <c r="E227" s="262"/>
      <c r="F227" s="263"/>
      <c r="G227" s="217"/>
      <c r="H227" s="24"/>
      <c r="I227" s="24"/>
      <c r="J227" s="24"/>
    </row>
    <row r="228" spans="1:10" ht="20.100000000000001" customHeight="1" thickBot="1">
      <c r="A228" s="64">
        <v>84</v>
      </c>
      <c r="B228" s="94" t="s">
        <v>391</v>
      </c>
      <c r="C228" s="95" t="s">
        <v>392</v>
      </c>
      <c r="D228" s="96" t="s">
        <v>143</v>
      </c>
      <c r="E228" s="97">
        <v>2</v>
      </c>
      <c r="F228" s="98"/>
      <c r="G228" s="69">
        <f>ROUND(E228*F228,2)</f>
        <v>0</v>
      </c>
      <c r="H228" s="24"/>
      <c r="I228" s="24"/>
      <c r="J228" s="24"/>
    </row>
    <row r="229" spans="1:10" ht="20.100000000000001" customHeight="1" thickBot="1">
      <c r="A229" s="213"/>
      <c r="B229" s="260"/>
      <c r="C229" s="261"/>
      <c r="D229" s="260"/>
      <c r="E229" s="262"/>
      <c r="F229" s="263"/>
      <c r="G229" s="217"/>
      <c r="H229" s="24"/>
      <c r="I229" s="24"/>
      <c r="J229" s="24"/>
    </row>
    <row r="230" spans="1:10" ht="20.100000000000001" customHeight="1" thickBot="1">
      <c r="A230" s="64">
        <v>85</v>
      </c>
      <c r="B230" s="94">
        <v>764222404</v>
      </c>
      <c r="C230" s="95" t="s">
        <v>393</v>
      </c>
      <c r="D230" s="96" t="s">
        <v>182</v>
      </c>
      <c r="E230" s="97">
        <f>2.5+3.5</f>
        <v>6</v>
      </c>
      <c r="F230" s="98"/>
      <c r="G230" s="69">
        <f>ROUND(E230*F230,2)</f>
        <v>0</v>
      </c>
      <c r="H230" s="24"/>
      <c r="I230" s="24"/>
      <c r="J230" s="24"/>
    </row>
    <row r="231" spans="1:10" ht="20.100000000000001" customHeight="1" thickBot="1">
      <c r="A231" s="213"/>
      <c r="B231" s="260"/>
      <c r="C231" s="261"/>
      <c r="D231" s="260"/>
      <c r="E231" s="262"/>
      <c r="F231" s="263"/>
      <c r="G231" s="217"/>
      <c r="H231" s="24"/>
      <c r="I231" s="24"/>
      <c r="J231" s="24"/>
    </row>
    <row r="232" spans="1:10" ht="20.100000000000001" customHeight="1" thickBot="1">
      <c r="A232" s="64">
        <v>86</v>
      </c>
      <c r="B232" s="94">
        <v>998764202</v>
      </c>
      <c r="C232" s="95" t="s">
        <v>360</v>
      </c>
      <c r="D232" s="96" t="s">
        <v>359</v>
      </c>
      <c r="E232" s="97">
        <v>1.56</v>
      </c>
      <c r="F232" s="98"/>
      <c r="G232" s="69">
        <f>ROUND(E232*F232*0.01,2)</f>
        <v>0</v>
      </c>
      <c r="H232" s="24"/>
      <c r="I232" s="24"/>
      <c r="J232" s="24"/>
    </row>
    <row r="233" spans="1:10" ht="20.100000000000001" customHeight="1">
      <c r="A233" s="70"/>
      <c r="B233" s="58"/>
      <c r="C233" s="91"/>
      <c r="D233" s="58"/>
      <c r="E233" s="92"/>
      <c r="F233" s="93"/>
      <c r="G233" s="93"/>
      <c r="H233" s="24"/>
      <c r="I233" s="24"/>
      <c r="J233" s="24"/>
    </row>
    <row r="234" spans="1:10" ht="20.100000000000001" customHeight="1" thickBot="1">
      <c r="A234" s="59"/>
      <c r="B234" s="60">
        <v>9</v>
      </c>
      <c r="C234" s="61" t="s">
        <v>213</v>
      </c>
      <c r="D234" s="60"/>
      <c r="E234" s="62"/>
      <c r="F234" s="63"/>
      <c r="G234" s="63">
        <f>SUM(G235:G253)</f>
        <v>0</v>
      </c>
      <c r="H234" s="24"/>
      <c r="I234" s="24"/>
      <c r="J234" s="24"/>
    </row>
    <row r="235" spans="1:10" ht="20.100000000000001" customHeight="1" thickBot="1">
      <c r="A235" s="64">
        <v>87</v>
      </c>
      <c r="B235" s="65">
        <v>766622132</v>
      </c>
      <c r="C235" s="66" t="s">
        <v>211</v>
      </c>
      <c r="D235" s="65" t="s">
        <v>109</v>
      </c>
      <c r="E235" s="67">
        <f>E236</f>
        <v>2.52</v>
      </c>
      <c r="F235" s="68"/>
      <c r="G235" s="69">
        <f>ROUND(E235*F235,2)</f>
        <v>0</v>
      </c>
      <c r="H235" s="24"/>
      <c r="I235" s="24"/>
      <c r="J235" s="24"/>
    </row>
    <row r="236" spans="1:10" ht="20.100000000000001" customHeight="1" thickBot="1">
      <c r="A236" s="29"/>
      <c r="B236" s="30"/>
      <c r="C236" s="31" t="s">
        <v>212</v>
      </c>
      <c r="D236" s="30"/>
      <c r="E236" s="32">
        <f>1.4*1.8</f>
        <v>2.52</v>
      </c>
      <c r="F236" s="33"/>
      <c r="G236" s="33"/>
      <c r="H236" s="24"/>
      <c r="I236" s="24"/>
      <c r="J236" s="24"/>
    </row>
    <row r="237" spans="1:10" ht="20.100000000000001" customHeight="1" thickBot="1">
      <c r="A237" s="81">
        <v>88</v>
      </c>
      <c r="B237" s="244" t="s">
        <v>214</v>
      </c>
      <c r="C237" s="83" t="s">
        <v>215</v>
      </c>
      <c r="D237" s="82" t="s">
        <v>110</v>
      </c>
      <c r="E237" s="84">
        <v>1</v>
      </c>
      <c r="F237" s="85"/>
      <c r="G237" s="86">
        <f>ROUND(E237*F237,2)</f>
        <v>0</v>
      </c>
      <c r="H237" s="24"/>
      <c r="I237" s="24"/>
      <c r="J237" s="24"/>
    </row>
    <row r="238" spans="1:10" ht="20.100000000000001" customHeight="1" thickBot="1">
      <c r="A238" s="70"/>
      <c r="B238" s="71"/>
      <c r="C238" s="25"/>
      <c r="D238" s="71"/>
      <c r="E238" s="72"/>
      <c r="F238" s="73"/>
      <c r="G238" s="73"/>
      <c r="H238" s="24"/>
      <c r="I238" s="24"/>
      <c r="J238" s="24"/>
    </row>
    <row r="239" spans="1:10" ht="20.100000000000001" customHeight="1" thickBot="1">
      <c r="A239" s="64">
        <v>89</v>
      </c>
      <c r="B239" s="65" t="s">
        <v>146</v>
      </c>
      <c r="C239" s="66" t="s">
        <v>216</v>
      </c>
      <c r="D239" s="65" t="s">
        <v>112</v>
      </c>
      <c r="E239" s="67">
        <v>10</v>
      </c>
      <c r="F239" s="68"/>
      <c r="G239" s="69">
        <f>ROUND(E239*F239,2)</f>
        <v>0</v>
      </c>
      <c r="H239" s="24"/>
      <c r="I239" s="24"/>
      <c r="J239" s="24"/>
    </row>
    <row r="240" spans="1:10" ht="20.100000000000001" customHeight="1" thickBot="1">
      <c r="A240" s="70"/>
      <c r="B240" s="71"/>
      <c r="C240" s="25"/>
      <c r="D240" s="71"/>
      <c r="E240" s="72"/>
      <c r="F240" s="73"/>
      <c r="G240" s="73"/>
      <c r="H240" s="24"/>
      <c r="I240" s="24"/>
      <c r="J240" s="24"/>
    </row>
    <row r="241" spans="1:10" ht="20.100000000000001" customHeight="1" thickBot="1">
      <c r="A241" s="81">
        <v>90</v>
      </c>
      <c r="B241" s="244" t="s">
        <v>214</v>
      </c>
      <c r="C241" s="83" t="s">
        <v>217</v>
      </c>
      <c r="D241" s="82" t="s">
        <v>110</v>
      </c>
      <c r="E241" s="84">
        <v>4</v>
      </c>
      <c r="F241" s="85"/>
      <c r="G241" s="86">
        <f>ROUND(E241*F241,2)</f>
        <v>0</v>
      </c>
      <c r="H241" s="24"/>
      <c r="I241" s="24"/>
      <c r="J241" s="24"/>
    </row>
    <row r="242" spans="1:10" ht="20.100000000000001" customHeight="1" thickBot="1">
      <c r="A242" s="281"/>
      <c r="B242" s="282"/>
      <c r="C242" s="283"/>
      <c r="D242" s="284"/>
      <c r="E242" s="285"/>
      <c r="F242" s="286"/>
      <c r="G242" s="286"/>
      <c r="H242" s="24"/>
      <c r="I242" s="24"/>
      <c r="J242" s="24"/>
    </row>
    <row r="243" spans="1:10" ht="20.100000000000001" customHeight="1" thickBot="1">
      <c r="A243" s="81">
        <v>91</v>
      </c>
      <c r="B243" s="244" t="s">
        <v>214</v>
      </c>
      <c r="C243" s="83" t="s">
        <v>218</v>
      </c>
      <c r="D243" s="82" t="s">
        <v>110</v>
      </c>
      <c r="E243" s="84">
        <v>2</v>
      </c>
      <c r="F243" s="85"/>
      <c r="G243" s="86">
        <f>ROUND(E243*F243,2)</f>
        <v>0</v>
      </c>
      <c r="H243" s="24"/>
      <c r="I243" s="24"/>
      <c r="J243" s="24"/>
    </row>
    <row r="244" spans="1:10" ht="20.100000000000001" customHeight="1" thickBot="1">
      <c r="A244" s="245"/>
      <c r="B244" s="246"/>
      <c r="C244" s="247"/>
      <c r="D244" s="248"/>
      <c r="E244" s="249"/>
      <c r="F244" s="250"/>
      <c r="G244" s="250"/>
      <c r="H244" s="24"/>
      <c r="I244" s="24"/>
      <c r="J244" s="24"/>
    </row>
    <row r="245" spans="1:10" ht="20.100000000000001" customHeight="1" thickBot="1">
      <c r="A245" s="81">
        <v>92</v>
      </c>
      <c r="B245" s="244" t="s">
        <v>214</v>
      </c>
      <c r="C245" s="83" t="s">
        <v>219</v>
      </c>
      <c r="D245" s="82" t="s">
        <v>110</v>
      </c>
      <c r="E245" s="84">
        <v>14</v>
      </c>
      <c r="F245" s="85"/>
      <c r="G245" s="86">
        <f>ROUND(E245*F245,2)</f>
        <v>0</v>
      </c>
      <c r="H245" s="24"/>
      <c r="I245" s="24"/>
      <c r="J245" s="24"/>
    </row>
    <row r="246" spans="1:10" ht="20.100000000000001" customHeight="1" thickBot="1">
      <c r="A246" s="245"/>
      <c r="B246" s="246"/>
      <c r="C246" s="247"/>
      <c r="D246" s="248"/>
      <c r="E246" s="249"/>
      <c r="F246" s="250"/>
      <c r="G246" s="250"/>
      <c r="H246" s="24"/>
      <c r="I246" s="24"/>
      <c r="J246" s="24"/>
    </row>
    <row r="247" spans="1:10" ht="20.100000000000001" customHeight="1" thickBot="1">
      <c r="A247" s="81">
        <v>93</v>
      </c>
      <c r="B247" s="244" t="s">
        <v>214</v>
      </c>
      <c r="C247" s="83" t="s">
        <v>218</v>
      </c>
      <c r="D247" s="82" t="s">
        <v>110</v>
      </c>
      <c r="E247" s="84">
        <v>7</v>
      </c>
      <c r="F247" s="85"/>
      <c r="G247" s="86">
        <f>ROUND(E247*F247,2)</f>
        <v>0</v>
      </c>
      <c r="H247" s="24"/>
      <c r="I247" s="24"/>
      <c r="J247" s="24"/>
    </row>
    <row r="248" spans="1:10" ht="20.100000000000001" customHeight="1" thickBot="1">
      <c r="A248" s="245"/>
      <c r="B248" s="246"/>
      <c r="C248" s="247"/>
      <c r="D248" s="248"/>
      <c r="E248" s="249"/>
      <c r="F248" s="250"/>
      <c r="G248" s="250"/>
      <c r="H248" s="24"/>
      <c r="I248" s="24"/>
      <c r="J248" s="24"/>
    </row>
    <row r="249" spans="1:10" ht="20.100000000000001" customHeight="1" thickBot="1">
      <c r="A249" s="81">
        <v>94</v>
      </c>
      <c r="B249" s="244" t="s">
        <v>214</v>
      </c>
      <c r="C249" s="83" t="s">
        <v>220</v>
      </c>
      <c r="D249" s="82" t="s">
        <v>110</v>
      </c>
      <c r="E249" s="84">
        <v>2</v>
      </c>
      <c r="F249" s="85"/>
      <c r="G249" s="86">
        <f>ROUND(E249*F249,2)</f>
        <v>0</v>
      </c>
      <c r="H249" s="24"/>
      <c r="I249" s="24"/>
      <c r="J249" s="24"/>
    </row>
    <row r="250" spans="1:10" ht="20.100000000000001" customHeight="1" thickBot="1">
      <c r="A250" s="245"/>
      <c r="B250" s="246"/>
      <c r="C250" s="247"/>
      <c r="D250" s="248"/>
      <c r="E250" s="249"/>
      <c r="F250" s="250"/>
      <c r="G250" s="250"/>
      <c r="H250" s="24"/>
      <c r="I250" s="24"/>
      <c r="J250" s="24"/>
    </row>
    <row r="251" spans="1:10" ht="20.100000000000001" customHeight="1" thickBot="1">
      <c r="A251" s="81">
        <v>95</v>
      </c>
      <c r="B251" s="244" t="s">
        <v>214</v>
      </c>
      <c r="C251" s="83" t="s">
        <v>218</v>
      </c>
      <c r="D251" s="82" t="s">
        <v>110</v>
      </c>
      <c r="E251" s="84">
        <v>1</v>
      </c>
      <c r="F251" s="85"/>
      <c r="G251" s="86">
        <f>ROUND(E251*F251,2)</f>
        <v>0</v>
      </c>
      <c r="H251" s="24"/>
      <c r="I251" s="24"/>
      <c r="J251" s="24"/>
    </row>
    <row r="252" spans="1:10" ht="20.100000000000001" customHeight="1" thickBot="1">
      <c r="A252" s="70"/>
      <c r="B252" s="71"/>
      <c r="C252" s="25"/>
      <c r="D252" s="71"/>
      <c r="E252" s="72"/>
      <c r="F252" s="73"/>
      <c r="G252" s="73"/>
      <c r="H252" s="24"/>
      <c r="I252" s="24"/>
      <c r="J252" s="24"/>
    </row>
    <row r="253" spans="1:10" ht="20.100000000000001" customHeight="1" thickBot="1">
      <c r="A253" s="64">
        <v>96</v>
      </c>
      <c r="B253" s="65">
        <v>998766202</v>
      </c>
      <c r="C253" s="66" t="s">
        <v>221</v>
      </c>
      <c r="D253" s="65" t="s">
        <v>116</v>
      </c>
      <c r="E253" s="67">
        <v>1.08</v>
      </c>
      <c r="F253" s="68"/>
      <c r="G253" s="69">
        <f>ROUND(F253*E253*0.01,2)</f>
        <v>0</v>
      </c>
      <c r="H253" s="24"/>
      <c r="I253" s="24"/>
      <c r="J253" s="24"/>
    </row>
    <row r="254" spans="1:10" ht="20.100000000000001" customHeight="1">
      <c r="A254" s="213"/>
      <c r="B254" s="214"/>
      <c r="C254" s="215"/>
      <c r="D254" s="214"/>
      <c r="E254" s="216"/>
      <c r="F254" s="217"/>
      <c r="G254" s="217"/>
      <c r="H254" s="24"/>
      <c r="I254" s="24"/>
      <c r="J254" s="24"/>
    </row>
    <row r="255" spans="1:10" ht="20.100000000000001" customHeight="1" thickBot="1">
      <c r="A255" s="59"/>
      <c r="B255" s="60">
        <v>10</v>
      </c>
      <c r="C255" s="61" t="s">
        <v>316</v>
      </c>
      <c r="D255" s="60"/>
      <c r="E255" s="62"/>
      <c r="F255" s="63"/>
      <c r="G255" s="63">
        <f>SUM(G256:G260)</f>
        <v>0</v>
      </c>
      <c r="H255" s="24"/>
      <c r="I255" s="24"/>
      <c r="J255" s="24"/>
    </row>
    <row r="256" spans="1:10" ht="20.100000000000001" customHeight="1" thickBot="1">
      <c r="A256" s="64">
        <v>97</v>
      </c>
      <c r="B256" s="65">
        <v>767662120</v>
      </c>
      <c r="C256" s="66" t="s">
        <v>317</v>
      </c>
      <c r="D256" s="65" t="s">
        <v>109</v>
      </c>
      <c r="E256" s="67">
        <f>E257</f>
        <v>3.302</v>
      </c>
      <c r="F256" s="68"/>
      <c r="G256" s="69">
        <f>ROUND(E256*F256,2)</f>
        <v>0</v>
      </c>
      <c r="H256" s="24"/>
      <c r="I256" s="24"/>
      <c r="J256" s="24"/>
    </row>
    <row r="257" spans="1:10" ht="20.100000000000001" customHeight="1" thickBot="1">
      <c r="A257" s="219"/>
      <c r="B257" s="220"/>
      <c r="C257" s="221" t="s">
        <v>318</v>
      </c>
      <c r="D257" s="220"/>
      <c r="E257" s="231">
        <f>6.604/2</f>
        <v>3.302</v>
      </c>
      <c r="F257" s="217"/>
      <c r="G257" s="217"/>
      <c r="H257" s="24"/>
      <c r="I257" s="24"/>
      <c r="J257" s="24"/>
    </row>
    <row r="258" spans="1:10" ht="20.100000000000001" customHeight="1" thickBot="1">
      <c r="A258" s="64">
        <v>98</v>
      </c>
      <c r="B258" s="65" t="s">
        <v>146</v>
      </c>
      <c r="C258" s="66" t="s">
        <v>344</v>
      </c>
      <c r="D258" s="65" t="s">
        <v>143</v>
      </c>
      <c r="E258" s="67">
        <v>12</v>
      </c>
      <c r="F258" s="68"/>
      <c r="G258" s="69">
        <f>ROUND(E258*F258,2)</f>
        <v>0</v>
      </c>
      <c r="H258" s="24"/>
      <c r="I258" s="24"/>
      <c r="J258" s="24"/>
    </row>
    <row r="259" spans="1:10" ht="20.100000000000001" customHeight="1" thickBot="1">
      <c r="A259" s="213"/>
      <c r="B259" s="214"/>
      <c r="C259" s="215"/>
      <c r="D259" s="214"/>
      <c r="E259" s="216"/>
      <c r="F259" s="217"/>
      <c r="G259" s="217"/>
      <c r="H259" s="24"/>
      <c r="I259" s="24"/>
      <c r="J259" s="24"/>
    </row>
    <row r="260" spans="1:10" ht="20.100000000000001" customHeight="1" thickBot="1">
      <c r="A260" s="64">
        <v>99</v>
      </c>
      <c r="B260" s="65">
        <v>998767202</v>
      </c>
      <c r="C260" s="66" t="s">
        <v>362</v>
      </c>
      <c r="D260" s="65" t="s">
        <v>359</v>
      </c>
      <c r="E260" s="67">
        <v>1.79</v>
      </c>
      <c r="F260" s="68"/>
      <c r="G260" s="69">
        <f>ROUND(E260*F260*0.01,2)</f>
        <v>0</v>
      </c>
      <c r="H260" s="24"/>
      <c r="I260" s="24"/>
      <c r="J260" s="24"/>
    </row>
    <row r="261" spans="1:10" ht="20.100000000000001" customHeight="1">
      <c r="A261" s="213"/>
      <c r="B261" s="214"/>
      <c r="C261" s="215"/>
      <c r="D261" s="214"/>
      <c r="E261" s="216"/>
      <c r="F261" s="217"/>
      <c r="G261" s="217"/>
      <c r="H261" s="24"/>
      <c r="I261" s="24"/>
      <c r="J261" s="24"/>
    </row>
    <row r="262" spans="1:10" ht="20.100000000000001" customHeight="1" thickBot="1">
      <c r="A262" s="59"/>
      <c r="B262" s="60">
        <v>11</v>
      </c>
      <c r="C262" s="61" t="s">
        <v>280</v>
      </c>
      <c r="D262" s="60"/>
      <c r="E262" s="62"/>
      <c r="F262" s="63"/>
      <c r="G262" s="63">
        <f>SUM(G263:G277)</f>
        <v>0</v>
      </c>
      <c r="H262" s="24"/>
      <c r="I262" s="24"/>
      <c r="J262" s="24"/>
    </row>
    <row r="263" spans="1:10" ht="20.100000000000001" customHeight="1" thickBot="1">
      <c r="A263" s="64">
        <v>100</v>
      </c>
      <c r="B263" s="94">
        <v>782991111</v>
      </c>
      <c r="C263" s="95" t="s">
        <v>281</v>
      </c>
      <c r="D263" s="96" t="s">
        <v>109</v>
      </c>
      <c r="E263" s="97">
        <f>SUM(E264:E268)</f>
        <v>9.952399999999999</v>
      </c>
      <c r="F263" s="98"/>
      <c r="G263" s="69">
        <f>ROUND(E263*F263,2)</f>
        <v>0</v>
      </c>
      <c r="H263" s="24"/>
      <c r="I263" s="24"/>
      <c r="J263" s="24"/>
    </row>
    <row r="264" spans="1:10" ht="20.100000000000001" customHeight="1">
      <c r="A264" s="219"/>
      <c r="B264" s="265"/>
      <c r="C264" s="266" t="s">
        <v>285</v>
      </c>
      <c r="D264" s="265"/>
      <c r="E264" s="268">
        <f>2.7*1.86-(1.08*1.12)</f>
        <v>3.8124000000000002</v>
      </c>
      <c r="F264" s="267"/>
      <c r="G264" s="223"/>
      <c r="H264" s="24"/>
      <c r="I264" s="24"/>
      <c r="J264" s="24"/>
    </row>
    <row r="265" spans="1:10" ht="20.100000000000001" customHeight="1">
      <c r="A265" s="219"/>
      <c r="B265" s="265"/>
      <c r="C265" s="266" t="s">
        <v>286</v>
      </c>
      <c r="D265" s="265"/>
      <c r="E265" s="268">
        <f>4.6*0.5</f>
        <v>2.2999999999999998</v>
      </c>
      <c r="F265" s="267"/>
      <c r="G265" s="223"/>
      <c r="H265" s="24"/>
      <c r="I265" s="24"/>
      <c r="J265" s="24"/>
    </row>
    <row r="266" spans="1:10" ht="20.100000000000001" customHeight="1">
      <c r="A266" s="219"/>
      <c r="B266" s="265"/>
      <c r="C266" s="266" t="s">
        <v>287</v>
      </c>
      <c r="D266" s="265"/>
      <c r="E266" s="268">
        <f>5.55*0.4</f>
        <v>2.2200000000000002</v>
      </c>
      <c r="F266" s="267"/>
      <c r="G266" s="223"/>
      <c r="H266" s="24"/>
      <c r="I266" s="24"/>
      <c r="J266" s="24"/>
    </row>
    <row r="267" spans="1:10" ht="20.100000000000001" customHeight="1">
      <c r="A267" s="219"/>
      <c r="B267" s="265"/>
      <c r="C267" s="266" t="s">
        <v>288</v>
      </c>
      <c r="D267" s="265"/>
      <c r="E267" s="268">
        <f>3.03*0.2</f>
        <v>0.60599999999999998</v>
      </c>
      <c r="F267" s="267"/>
      <c r="G267" s="223"/>
      <c r="H267" s="24"/>
      <c r="I267" s="24"/>
      <c r="J267" s="24"/>
    </row>
    <row r="268" spans="1:10" ht="20.100000000000001" customHeight="1" thickBot="1">
      <c r="A268" s="219"/>
      <c r="B268" s="265"/>
      <c r="C268" s="266" t="s">
        <v>289</v>
      </c>
      <c r="D268" s="265"/>
      <c r="E268" s="268">
        <f>5.07*0.2</f>
        <v>1.014</v>
      </c>
      <c r="F268" s="267"/>
      <c r="G268" s="223"/>
      <c r="H268" s="24"/>
      <c r="I268" s="24"/>
      <c r="J268" s="24"/>
    </row>
    <row r="269" spans="1:10" ht="20.100000000000001" customHeight="1" thickBot="1">
      <c r="A269" s="64">
        <v>101</v>
      </c>
      <c r="B269" s="94">
        <v>782142110</v>
      </c>
      <c r="C269" s="95" t="s">
        <v>282</v>
      </c>
      <c r="D269" s="96" t="s">
        <v>109</v>
      </c>
      <c r="E269" s="97">
        <f>E263</f>
        <v>9.952399999999999</v>
      </c>
      <c r="F269" s="98"/>
      <c r="G269" s="69">
        <f>ROUND(E269*F269,2)</f>
        <v>0</v>
      </c>
      <c r="H269" s="24"/>
      <c r="I269" s="24"/>
      <c r="J269" s="24"/>
    </row>
    <row r="270" spans="1:10" ht="20.100000000000001" customHeight="1" thickBot="1">
      <c r="A270" s="213"/>
      <c r="B270" s="260"/>
      <c r="C270" s="261"/>
      <c r="D270" s="260"/>
      <c r="E270" s="262"/>
      <c r="F270" s="263"/>
      <c r="G270" s="217"/>
      <c r="H270" s="24"/>
      <c r="I270" s="24"/>
      <c r="J270" s="24"/>
    </row>
    <row r="271" spans="1:10" ht="20.100000000000001" customHeight="1" thickBot="1">
      <c r="A271" s="64">
        <v>102</v>
      </c>
      <c r="B271" s="94">
        <v>782191111</v>
      </c>
      <c r="C271" s="95" t="s">
        <v>283</v>
      </c>
      <c r="D271" s="96" t="s">
        <v>109</v>
      </c>
      <c r="E271" s="97">
        <f>E269</f>
        <v>9.952399999999999</v>
      </c>
      <c r="F271" s="98"/>
      <c r="G271" s="69">
        <f>ROUND(E271*F271,2)</f>
        <v>0</v>
      </c>
      <c r="H271" s="24"/>
      <c r="I271" s="24"/>
      <c r="J271" s="24"/>
    </row>
    <row r="272" spans="1:10" ht="20.100000000000001" customHeight="1" thickBot="1">
      <c r="A272" s="213"/>
      <c r="B272" s="260"/>
      <c r="C272" s="261"/>
      <c r="D272" s="260"/>
      <c r="E272" s="262"/>
      <c r="F272" s="263"/>
      <c r="G272" s="217"/>
      <c r="H272" s="24"/>
      <c r="I272" s="24"/>
      <c r="J272" s="24"/>
    </row>
    <row r="273" spans="1:10" ht="20.100000000000001" customHeight="1" thickBot="1">
      <c r="A273" s="64">
        <v>103</v>
      </c>
      <c r="B273" s="94">
        <v>782991115</v>
      </c>
      <c r="C273" s="95" t="s">
        <v>284</v>
      </c>
      <c r="D273" s="96" t="s">
        <v>109</v>
      </c>
      <c r="E273" s="97">
        <f>E271</f>
        <v>9.952399999999999</v>
      </c>
      <c r="F273" s="98"/>
      <c r="G273" s="69">
        <f>ROUND(E273*F273,2)</f>
        <v>0</v>
      </c>
      <c r="H273" s="24"/>
      <c r="I273" s="24"/>
      <c r="J273" s="24"/>
    </row>
    <row r="274" spans="1:10" ht="20.100000000000001" customHeight="1" thickBot="1">
      <c r="A274" s="213"/>
      <c r="B274" s="260"/>
      <c r="C274" s="261"/>
      <c r="D274" s="260"/>
      <c r="E274" s="262"/>
      <c r="F274" s="263"/>
      <c r="G274" s="217"/>
      <c r="H274" s="24"/>
      <c r="I274" s="24"/>
      <c r="J274" s="24"/>
    </row>
    <row r="275" spans="1:10" ht="111.75" customHeight="1" thickBot="1">
      <c r="A275" s="81">
        <v>104</v>
      </c>
      <c r="B275" s="244" t="s">
        <v>214</v>
      </c>
      <c r="C275" s="243" t="s">
        <v>290</v>
      </c>
      <c r="D275" s="82" t="s">
        <v>109</v>
      </c>
      <c r="E275" s="84">
        <f>ROUND(9.952*1.1,0)</f>
        <v>11</v>
      </c>
      <c r="F275" s="85"/>
      <c r="G275" s="86">
        <f>ROUND(E275*F275,2)</f>
        <v>0</v>
      </c>
      <c r="H275" s="24"/>
      <c r="I275" s="24"/>
      <c r="J275" s="24"/>
    </row>
    <row r="276" spans="1:10" ht="19.5" customHeight="1" thickBot="1">
      <c r="A276" s="245"/>
      <c r="B276" s="246"/>
      <c r="C276" s="272"/>
      <c r="D276" s="248"/>
      <c r="E276" s="249"/>
      <c r="F276" s="250"/>
      <c r="G276" s="250"/>
      <c r="H276" s="24"/>
      <c r="I276" s="24"/>
      <c r="J276" s="24"/>
    </row>
    <row r="277" spans="1:10" ht="19.5" customHeight="1" thickBot="1">
      <c r="A277" s="64">
        <v>105</v>
      </c>
      <c r="B277" s="94">
        <v>998782202</v>
      </c>
      <c r="C277" s="95" t="s">
        <v>363</v>
      </c>
      <c r="D277" s="96" t="s">
        <v>109</v>
      </c>
      <c r="E277" s="97">
        <v>3</v>
      </c>
      <c r="F277" s="98"/>
      <c r="G277" s="69">
        <f>ROUND(E277*F277*0.01,2)</f>
        <v>0</v>
      </c>
      <c r="H277" s="24"/>
      <c r="I277" s="24"/>
      <c r="J277" s="24"/>
    </row>
    <row r="278" spans="1:10" ht="20.100000000000001" customHeight="1">
      <c r="A278" s="213"/>
      <c r="B278" s="260"/>
      <c r="C278" s="261"/>
      <c r="D278" s="260"/>
      <c r="E278" s="262"/>
      <c r="F278" s="263"/>
      <c r="G278" s="217"/>
      <c r="H278" s="24"/>
      <c r="I278" s="24"/>
      <c r="J278" s="24"/>
    </row>
    <row r="279" spans="1:10" ht="20.100000000000001" customHeight="1" thickBot="1">
      <c r="A279" s="59"/>
      <c r="B279" s="60">
        <v>12</v>
      </c>
      <c r="C279" s="61" t="s">
        <v>299</v>
      </c>
      <c r="D279" s="60"/>
      <c r="E279" s="62"/>
      <c r="F279" s="63"/>
      <c r="G279" s="63">
        <f>SUM(G280:G309)</f>
        <v>0</v>
      </c>
      <c r="H279" s="24"/>
      <c r="I279" s="24"/>
      <c r="J279" s="24"/>
    </row>
    <row r="280" spans="1:10" ht="20.100000000000001" customHeight="1" thickBot="1">
      <c r="A280" s="64">
        <v>106</v>
      </c>
      <c r="B280" s="94">
        <v>783306811</v>
      </c>
      <c r="C280" s="95" t="s">
        <v>293</v>
      </c>
      <c r="D280" s="96" t="s">
        <v>109</v>
      </c>
      <c r="E280" s="97">
        <f>E281</f>
        <v>6.6042000000000014</v>
      </c>
      <c r="F280" s="98"/>
      <c r="G280" s="69">
        <f>ROUND(E280*F280,2)</f>
        <v>0</v>
      </c>
      <c r="H280" s="24"/>
      <c r="I280" s="24"/>
      <c r="J280" s="24"/>
    </row>
    <row r="281" spans="1:10" ht="20.100000000000001" customHeight="1" thickBot="1">
      <c r="A281" s="59"/>
      <c r="B281" s="60"/>
      <c r="C281" s="31" t="s">
        <v>296</v>
      </c>
      <c r="D281" s="60"/>
      <c r="E281" s="37">
        <f>(1.08*1.12+1.08*1.12+0.81*1.09)*2</f>
        <v>6.6042000000000014</v>
      </c>
      <c r="F281" s="63"/>
      <c r="G281" s="63"/>
      <c r="H281" s="24"/>
      <c r="I281" s="24"/>
      <c r="J281" s="24"/>
    </row>
    <row r="282" spans="1:10" ht="20.100000000000001" customHeight="1" thickBot="1">
      <c r="A282" s="64">
        <v>107</v>
      </c>
      <c r="B282" s="94">
        <v>783301311</v>
      </c>
      <c r="C282" s="95" t="s">
        <v>294</v>
      </c>
      <c r="D282" s="96" t="s">
        <v>109</v>
      </c>
      <c r="E282" s="97">
        <f>E280</f>
        <v>6.6042000000000014</v>
      </c>
      <c r="F282" s="98"/>
      <c r="G282" s="69">
        <f>ROUND(E282*F282,2)</f>
        <v>0</v>
      </c>
      <c r="H282" s="24"/>
      <c r="I282" s="24"/>
      <c r="J282" s="24"/>
    </row>
    <row r="283" spans="1:10" ht="20.100000000000001" customHeight="1" thickBot="1">
      <c r="A283" s="59"/>
      <c r="B283" s="60"/>
      <c r="C283" s="61"/>
      <c r="D283" s="60"/>
      <c r="E283" s="62"/>
      <c r="F283" s="63"/>
      <c r="G283" s="63"/>
      <c r="H283" s="24"/>
      <c r="I283" s="24"/>
      <c r="J283" s="24"/>
    </row>
    <row r="284" spans="1:10" ht="20.100000000000001" customHeight="1" thickBot="1">
      <c r="A284" s="64">
        <v>108</v>
      </c>
      <c r="B284" s="94">
        <v>783301401</v>
      </c>
      <c r="C284" s="95" t="s">
        <v>295</v>
      </c>
      <c r="D284" s="96" t="s">
        <v>109</v>
      </c>
      <c r="E284" s="97">
        <f>E282</f>
        <v>6.6042000000000014</v>
      </c>
      <c r="F284" s="98"/>
      <c r="G284" s="69">
        <f>ROUND(E284*F284,2)</f>
        <v>0</v>
      </c>
      <c r="H284" s="24"/>
      <c r="I284" s="24"/>
      <c r="J284" s="24"/>
    </row>
    <row r="285" spans="1:10" ht="20.100000000000001" customHeight="1" thickBot="1">
      <c r="A285" s="213"/>
      <c r="B285" s="260"/>
      <c r="C285" s="261"/>
      <c r="D285" s="260"/>
      <c r="E285" s="262"/>
      <c r="F285" s="263"/>
      <c r="G285" s="217"/>
      <c r="H285" s="24"/>
      <c r="I285" s="24"/>
      <c r="J285" s="24"/>
    </row>
    <row r="286" spans="1:10" ht="20.100000000000001" customHeight="1" thickBot="1">
      <c r="A286" s="64">
        <v>109</v>
      </c>
      <c r="B286" s="94">
        <v>783314201</v>
      </c>
      <c r="C286" s="95" t="s">
        <v>297</v>
      </c>
      <c r="D286" s="96" t="s">
        <v>109</v>
      </c>
      <c r="E286" s="97">
        <f>E280</f>
        <v>6.6042000000000014</v>
      </c>
      <c r="F286" s="98"/>
      <c r="G286" s="69">
        <f>ROUND(E286*F286,2)</f>
        <v>0</v>
      </c>
      <c r="H286" s="24"/>
      <c r="I286" s="24"/>
      <c r="J286" s="24"/>
    </row>
    <row r="287" spans="1:10" ht="20.100000000000001" customHeight="1" thickBot="1">
      <c r="A287" s="213"/>
      <c r="B287" s="260"/>
      <c r="C287" s="261"/>
      <c r="D287" s="260"/>
      <c r="E287" s="262"/>
      <c r="F287" s="263"/>
      <c r="G287" s="217"/>
      <c r="H287" s="24"/>
      <c r="I287" s="24"/>
      <c r="J287" s="24"/>
    </row>
    <row r="288" spans="1:10" ht="20.100000000000001" customHeight="1" thickBot="1">
      <c r="A288" s="64">
        <v>110</v>
      </c>
      <c r="B288" s="94">
        <v>783315101</v>
      </c>
      <c r="C288" s="95" t="s">
        <v>298</v>
      </c>
      <c r="D288" s="96" t="s">
        <v>109</v>
      </c>
      <c r="E288" s="97">
        <f>E281</f>
        <v>6.6042000000000014</v>
      </c>
      <c r="F288" s="98"/>
      <c r="G288" s="69">
        <f>ROUND(E288*F288,2)</f>
        <v>0</v>
      </c>
      <c r="H288" s="24"/>
      <c r="I288" s="24"/>
      <c r="J288" s="24"/>
    </row>
    <row r="289" spans="1:10" ht="20.100000000000001" customHeight="1" thickBot="1">
      <c r="A289" s="213"/>
      <c r="B289" s="260"/>
      <c r="C289" s="261"/>
      <c r="D289" s="260"/>
      <c r="E289" s="262"/>
      <c r="F289" s="263"/>
      <c r="G289" s="217"/>
      <c r="H289" s="24"/>
      <c r="I289" s="24"/>
      <c r="J289" s="24"/>
    </row>
    <row r="290" spans="1:10" ht="29.25" customHeight="1" thickBot="1">
      <c r="A290" s="64">
        <v>111</v>
      </c>
      <c r="B290" s="94">
        <v>783101201</v>
      </c>
      <c r="C290" s="95" t="s">
        <v>329</v>
      </c>
      <c r="D290" s="96" t="s">
        <v>112</v>
      </c>
      <c r="E290" s="97">
        <v>1</v>
      </c>
      <c r="F290" s="98"/>
      <c r="G290" s="69">
        <f>ROUND(E290*F290,2)</f>
        <v>0</v>
      </c>
      <c r="H290" s="24"/>
      <c r="I290" s="24"/>
      <c r="J290" s="24"/>
    </row>
    <row r="291" spans="1:10" ht="20.100000000000001" customHeight="1" thickBot="1">
      <c r="A291" s="219"/>
      <c r="B291" s="265"/>
      <c r="C291" s="266"/>
      <c r="D291" s="265"/>
      <c r="E291" s="273"/>
      <c r="F291" s="267"/>
      <c r="G291" s="223"/>
      <c r="H291" s="24"/>
      <c r="I291" s="24"/>
      <c r="J291" s="24"/>
    </row>
    <row r="292" spans="1:10" ht="20.100000000000001" customHeight="1" thickBot="1">
      <c r="A292" s="64">
        <v>112</v>
      </c>
      <c r="B292" s="94">
        <v>783101203</v>
      </c>
      <c r="C292" s="95" t="s">
        <v>323</v>
      </c>
      <c r="D292" s="96" t="s">
        <v>109</v>
      </c>
      <c r="E292" s="97">
        <f>SUM(E293:E300)</f>
        <v>27.1372</v>
      </c>
      <c r="F292" s="98"/>
      <c r="G292" s="69">
        <f>ROUND(E292*F292,2)</f>
        <v>0</v>
      </c>
      <c r="H292" s="24"/>
      <c r="I292" s="24"/>
      <c r="J292" s="24"/>
    </row>
    <row r="293" spans="1:10" ht="20.100000000000001" customHeight="1">
      <c r="A293" s="219"/>
      <c r="B293" s="265"/>
      <c r="C293" s="266" t="s">
        <v>334</v>
      </c>
      <c r="D293" s="265"/>
      <c r="E293" s="268">
        <f>2.75*0.08*2*3+2.75*0.06*2*3</f>
        <v>2.31</v>
      </c>
      <c r="F293" s="267"/>
      <c r="G293" s="223"/>
      <c r="H293" s="24"/>
      <c r="I293" s="24"/>
      <c r="J293" s="24"/>
    </row>
    <row r="294" spans="1:10" ht="20.100000000000001" customHeight="1">
      <c r="A294" s="219"/>
      <c r="B294" s="265"/>
      <c r="C294" s="266" t="s">
        <v>330</v>
      </c>
      <c r="D294" s="265"/>
      <c r="E294" s="268">
        <f>9.21*0.08*2*3+9.21*0.06*2*3</f>
        <v>7.7364000000000006</v>
      </c>
      <c r="F294" s="267"/>
      <c r="G294" s="223"/>
      <c r="H294" s="24"/>
      <c r="I294" s="24"/>
      <c r="J294" s="24"/>
    </row>
    <row r="295" spans="1:10" ht="20.100000000000001" customHeight="1">
      <c r="A295" s="219"/>
      <c r="B295" s="265"/>
      <c r="C295" s="266" t="s">
        <v>331</v>
      </c>
      <c r="D295" s="265"/>
      <c r="E295" s="268">
        <f>3.03*0.08*2*3+3.03*0.06*2*3</f>
        <v>2.5451999999999999</v>
      </c>
      <c r="F295" s="267"/>
      <c r="G295" s="223"/>
      <c r="H295" s="24"/>
      <c r="I295" s="24"/>
      <c r="J295" s="24"/>
    </row>
    <row r="296" spans="1:10" ht="20.100000000000001" customHeight="1">
      <c r="A296" s="219"/>
      <c r="B296" s="265"/>
      <c r="C296" s="266" t="s">
        <v>332</v>
      </c>
      <c r="D296" s="265"/>
      <c r="E296" s="268">
        <f>5.55*0.08*2*3+5.55*0.06*2*3</f>
        <v>4.6619999999999999</v>
      </c>
      <c r="F296" s="267"/>
      <c r="G296" s="223"/>
      <c r="H296" s="24"/>
      <c r="I296" s="24"/>
      <c r="J296" s="24"/>
    </row>
    <row r="297" spans="1:10" ht="20.100000000000001" customHeight="1">
      <c r="A297" s="219"/>
      <c r="B297" s="265"/>
      <c r="C297" s="266" t="s">
        <v>333</v>
      </c>
      <c r="D297" s="265"/>
      <c r="E297" s="268">
        <f>0.1*1.1*2*13+0.09*1.1*2*13</f>
        <v>5.4340000000000011</v>
      </c>
      <c r="F297" s="267"/>
      <c r="G297" s="223"/>
      <c r="H297" s="24"/>
      <c r="I297" s="24"/>
      <c r="J297" s="24"/>
    </row>
    <row r="298" spans="1:10" ht="20.100000000000001" customHeight="1">
      <c r="A298" s="219"/>
      <c r="B298" s="265"/>
      <c r="C298" s="266" t="s">
        <v>343</v>
      </c>
      <c r="D298" s="265"/>
      <c r="E298" s="268">
        <f>0.16*0.18*27</f>
        <v>0.77759999999999996</v>
      </c>
      <c r="F298" s="267"/>
      <c r="G298" s="223"/>
      <c r="H298" s="24"/>
      <c r="I298" s="24"/>
      <c r="J298" s="24"/>
    </row>
    <row r="299" spans="1:10" ht="20.100000000000001" customHeight="1">
      <c r="A299" s="219"/>
      <c r="B299" s="265"/>
      <c r="C299" s="266" t="s">
        <v>341</v>
      </c>
      <c r="D299" s="265"/>
      <c r="E299" s="268">
        <f>0.16*0.2*27*2</f>
        <v>1.728</v>
      </c>
      <c r="F299" s="267"/>
      <c r="G299" s="223"/>
      <c r="H299" s="24"/>
      <c r="I299" s="24"/>
      <c r="J299" s="24"/>
    </row>
    <row r="300" spans="1:10" ht="20.100000000000001" customHeight="1" thickBot="1">
      <c r="A300" s="219"/>
      <c r="B300" s="265"/>
      <c r="C300" s="266" t="s">
        <v>342</v>
      </c>
      <c r="D300" s="265"/>
      <c r="E300" s="268">
        <f>0.18*0.2*27*2</f>
        <v>1.944</v>
      </c>
      <c r="F300" s="267"/>
      <c r="G300" s="223"/>
      <c r="H300" s="24"/>
      <c r="I300" s="24"/>
      <c r="J300" s="24"/>
    </row>
    <row r="301" spans="1:10" ht="20.100000000000001" customHeight="1" thickBot="1">
      <c r="A301" s="64">
        <v>113</v>
      </c>
      <c r="B301" s="94">
        <v>783101401</v>
      </c>
      <c r="C301" s="95" t="s">
        <v>324</v>
      </c>
      <c r="D301" s="96" t="s">
        <v>109</v>
      </c>
      <c r="E301" s="97">
        <f>E292</f>
        <v>27.1372</v>
      </c>
      <c r="F301" s="98"/>
      <c r="G301" s="69">
        <f>ROUND(E301*F301,2)</f>
        <v>0</v>
      </c>
      <c r="H301" s="24"/>
      <c r="I301" s="24"/>
      <c r="J301" s="24"/>
    </row>
    <row r="302" spans="1:10" ht="20.100000000000001" customHeight="1" thickBot="1">
      <c r="A302" s="213"/>
      <c r="B302" s="260"/>
      <c r="C302" s="261"/>
      <c r="D302" s="260"/>
      <c r="E302" s="262"/>
      <c r="F302" s="263"/>
      <c r="G302" s="217"/>
      <c r="H302" s="24"/>
      <c r="I302" s="24"/>
      <c r="J302" s="24"/>
    </row>
    <row r="303" spans="1:10" ht="20.100000000000001" customHeight="1" thickBot="1">
      <c r="A303" s="64">
        <v>114</v>
      </c>
      <c r="B303" s="94">
        <v>783132121</v>
      </c>
      <c r="C303" s="95" t="s">
        <v>325</v>
      </c>
      <c r="D303" s="96" t="s">
        <v>109</v>
      </c>
      <c r="E303" s="97">
        <f>E301</f>
        <v>27.1372</v>
      </c>
      <c r="F303" s="98"/>
      <c r="G303" s="69">
        <f>ROUND(E303*F303,2)</f>
        <v>0</v>
      </c>
      <c r="H303" s="24"/>
      <c r="I303" s="24"/>
      <c r="J303" s="24"/>
    </row>
    <row r="304" spans="1:10" ht="20.100000000000001" customHeight="1" thickBot="1">
      <c r="A304" s="213"/>
      <c r="B304" s="260"/>
      <c r="C304" s="261"/>
      <c r="D304" s="260"/>
      <c r="E304" s="262"/>
      <c r="F304" s="263"/>
      <c r="G304" s="217"/>
      <c r="H304" s="24"/>
      <c r="I304" s="24"/>
      <c r="J304" s="24"/>
    </row>
    <row r="305" spans="1:10" ht="20.100000000000001" customHeight="1" thickBot="1">
      <c r="A305" s="64">
        <v>115</v>
      </c>
      <c r="B305" s="94">
        <v>783113101</v>
      </c>
      <c r="C305" s="95" t="s">
        <v>326</v>
      </c>
      <c r="D305" s="96" t="s">
        <v>109</v>
      </c>
      <c r="E305" s="97">
        <f>E303</f>
        <v>27.1372</v>
      </c>
      <c r="F305" s="98"/>
      <c r="G305" s="69">
        <f>ROUND(E305*F305,2)</f>
        <v>0</v>
      </c>
      <c r="H305" s="24"/>
      <c r="I305" s="24"/>
      <c r="J305" s="24"/>
    </row>
    <row r="306" spans="1:10" ht="20.100000000000001" customHeight="1" thickBot="1">
      <c r="A306" s="213"/>
      <c r="B306" s="260"/>
      <c r="C306" s="261"/>
      <c r="D306" s="260"/>
      <c r="E306" s="262"/>
      <c r="F306" s="263"/>
      <c r="G306" s="217"/>
      <c r="H306" s="24"/>
      <c r="I306" s="24"/>
      <c r="J306" s="24"/>
    </row>
    <row r="307" spans="1:10" ht="20.100000000000001" customHeight="1" thickBot="1">
      <c r="A307" s="64">
        <v>116</v>
      </c>
      <c r="B307" s="94">
        <v>783317101</v>
      </c>
      <c r="C307" s="95" t="s">
        <v>327</v>
      </c>
      <c r="D307" s="96" t="s">
        <v>109</v>
      </c>
      <c r="E307" s="97">
        <f>E305</f>
        <v>27.1372</v>
      </c>
      <c r="F307" s="98"/>
      <c r="G307" s="69">
        <f>ROUND(E307*F307,2)</f>
        <v>0</v>
      </c>
      <c r="H307" s="24"/>
      <c r="I307" s="24"/>
      <c r="J307" s="24"/>
    </row>
    <row r="308" spans="1:10" ht="20.100000000000001" customHeight="1" thickBot="1">
      <c r="A308" s="213"/>
      <c r="B308" s="260"/>
      <c r="C308" s="261"/>
      <c r="D308" s="260"/>
      <c r="E308" s="262"/>
      <c r="F308" s="263"/>
      <c r="G308" s="217"/>
      <c r="H308" s="24"/>
      <c r="I308" s="24"/>
      <c r="J308" s="24"/>
    </row>
    <row r="309" spans="1:10" ht="20.100000000000001" customHeight="1" thickBot="1">
      <c r="A309" s="64">
        <v>117</v>
      </c>
      <c r="B309" s="94">
        <v>783117101</v>
      </c>
      <c r="C309" s="95" t="s">
        <v>328</v>
      </c>
      <c r="D309" s="96" t="s">
        <v>109</v>
      </c>
      <c r="E309" s="97">
        <f>E303</f>
        <v>27.1372</v>
      </c>
      <c r="F309" s="98"/>
      <c r="G309" s="69">
        <f>ROUND(E309*F309,2)</f>
        <v>0</v>
      </c>
      <c r="H309" s="24"/>
      <c r="I309" s="24"/>
      <c r="J309" s="24"/>
    </row>
    <row r="310" spans="1:10" ht="20.100000000000001" customHeight="1">
      <c r="A310" s="213"/>
      <c r="B310" s="260"/>
      <c r="C310" s="261"/>
      <c r="D310" s="260"/>
      <c r="E310" s="262"/>
      <c r="F310" s="263"/>
      <c r="G310" s="217"/>
      <c r="H310" s="24"/>
      <c r="I310" s="24"/>
      <c r="J310" s="24"/>
    </row>
    <row r="311" spans="1:10" ht="20.100000000000001" customHeight="1" thickBot="1">
      <c r="A311" s="59"/>
      <c r="B311" s="60">
        <v>13</v>
      </c>
      <c r="C311" s="61" t="s">
        <v>308</v>
      </c>
      <c r="D311" s="60"/>
      <c r="E311" s="62"/>
      <c r="F311" s="63"/>
      <c r="G311" s="63">
        <f>SUM(G312:G334)</f>
        <v>0</v>
      </c>
      <c r="H311" s="24"/>
      <c r="I311" s="24"/>
      <c r="J311" s="24"/>
    </row>
    <row r="312" spans="1:10" ht="20.100000000000001" customHeight="1" thickBot="1">
      <c r="A312" s="64">
        <v>118</v>
      </c>
      <c r="B312" s="65">
        <v>767893117</v>
      </c>
      <c r="C312" s="66" t="s">
        <v>304</v>
      </c>
      <c r="D312" s="65" t="s">
        <v>143</v>
      </c>
      <c r="E312" s="67">
        <v>2</v>
      </c>
      <c r="F312" s="68"/>
      <c r="G312" s="69">
        <f>ROUND(E312*F312,2)</f>
        <v>0</v>
      </c>
      <c r="H312" s="24"/>
      <c r="I312" s="24"/>
      <c r="J312" s="24"/>
    </row>
    <row r="313" spans="1:10" ht="20.100000000000001" customHeight="1" thickBot="1">
      <c r="A313" s="59"/>
      <c r="B313" s="60"/>
      <c r="C313" s="61"/>
      <c r="D313" s="60"/>
      <c r="E313" s="62"/>
      <c r="F313" s="63"/>
      <c r="G313" s="63"/>
      <c r="H313" s="24"/>
      <c r="I313" s="24"/>
      <c r="J313" s="24"/>
    </row>
    <row r="314" spans="1:10" ht="122.25" customHeight="1" thickBot="1">
      <c r="A314" s="81">
        <v>119</v>
      </c>
      <c r="B314" s="244" t="s">
        <v>214</v>
      </c>
      <c r="C314" s="243" t="s">
        <v>305</v>
      </c>
      <c r="D314" s="82" t="s">
        <v>143</v>
      </c>
      <c r="E314" s="84">
        <v>2</v>
      </c>
      <c r="F314" s="85"/>
      <c r="G314" s="86">
        <f>ROUND(E314*F314,2)</f>
        <v>0</v>
      </c>
      <c r="H314" s="24"/>
      <c r="I314" s="24"/>
      <c r="J314" s="24"/>
    </row>
    <row r="315" spans="1:10" ht="20.100000000000001" customHeight="1" thickBot="1">
      <c r="A315" s="59"/>
      <c r="B315" s="60"/>
      <c r="C315" s="61"/>
      <c r="D315" s="60"/>
      <c r="E315" s="62"/>
      <c r="F315" s="63"/>
      <c r="G315" s="63"/>
      <c r="H315" s="24"/>
      <c r="I315" s="24"/>
      <c r="J315" s="24"/>
    </row>
    <row r="316" spans="1:10" ht="28.5" customHeight="1" thickBot="1">
      <c r="A316" s="64">
        <v>120</v>
      </c>
      <c r="B316" s="65">
        <v>767893118</v>
      </c>
      <c r="C316" s="66" t="s">
        <v>307</v>
      </c>
      <c r="D316" s="65" t="s">
        <v>143</v>
      </c>
      <c r="E316" s="67">
        <v>1</v>
      </c>
      <c r="F316" s="68"/>
      <c r="G316" s="69">
        <f>ROUND(E316*F316,2)</f>
        <v>0</v>
      </c>
      <c r="H316" s="24"/>
      <c r="I316" s="24"/>
      <c r="J316" s="24"/>
    </row>
    <row r="317" spans="1:10" ht="20.100000000000001" customHeight="1" thickBot="1">
      <c r="A317" s="59"/>
      <c r="B317" s="60"/>
      <c r="C317" s="61"/>
      <c r="D317" s="60"/>
      <c r="E317" s="62"/>
      <c r="F317" s="63"/>
      <c r="G317" s="63"/>
      <c r="H317" s="24"/>
      <c r="I317" s="24"/>
      <c r="J317" s="24"/>
    </row>
    <row r="318" spans="1:10" ht="120.75" customHeight="1" thickBot="1">
      <c r="A318" s="81">
        <v>121</v>
      </c>
      <c r="B318" s="244" t="s">
        <v>214</v>
      </c>
      <c r="C318" s="243" t="s">
        <v>306</v>
      </c>
      <c r="D318" s="82" t="s">
        <v>143</v>
      </c>
      <c r="E318" s="84">
        <v>1</v>
      </c>
      <c r="F318" s="85"/>
      <c r="G318" s="86">
        <f>ROUND(E318*F318,2)</f>
        <v>0</v>
      </c>
      <c r="H318" s="24"/>
      <c r="I318" s="24"/>
      <c r="J318" s="24"/>
    </row>
    <row r="319" spans="1:10" ht="20.100000000000001" customHeight="1" thickBot="1">
      <c r="A319" s="59"/>
      <c r="B319" s="60"/>
      <c r="C319" s="61"/>
      <c r="D319" s="60"/>
      <c r="E319" s="62"/>
      <c r="F319" s="63"/>
      <c r="G319" s="63"/>
      <c r="H319" s="24"/>
      <c r="I319" s="24"/>
      <c r="J319" s="24"/>
    </row>
    <row r="320" spans="1:10" ht="20.100000000000001" customHeight="1" thickBot="1">
      <c r="A320" s="64">
        <v>122</v>
      </c>
      <c r="B320" s="65" t="s">
        <v>309</v>
      </c>
      <c r="C320" s="66" t="s">
        <v>310</v>
      </c>
      <c r="D320" s="65" t="s">
        <v>143</v>
      </c>
      <c r="E320" s="67">
        <v>4</v>
      </c>
      <c r="F320" s="68"/>
      <c r="G320" s="69">
        <f>ROUND(E320*F320,2)</f>
        <v>0</v>
      </c>
      <c r="H320" s="24"/>
      <c r="I320" s="24"/>
      <c r="J320" s="24"/>
    </row>
    <row r="321" spans="1:10" ht="20.100000000000001" customHeight="1" thickBot="1">
      <c r="A321" s="59"/>
      <c r="B321" s="60"/>
      <c r="C321" s="61"/>
      <c r="D321" s="60"/>
      <c r="E321" s="62"/>
      <c r="F321" s="63"/>
      <c r="G321" s="63"/>
      <c r="H321" s="24"/>
      <c r="I321" s="24"/>
      <c r="J321" s="24"/>
    </row>
    <row r="322" spans="1:10" ht="20.100000000000001" customHeight="1" thickBot="1">
      <c r="A322" s="64">
        <v>123</v>
      </c>
      <c r="B322" s="65">
        <v>751621111</v>
      </c>
      <c r="C322" s="66" t="s">
        <v>313</v>
      </c>
      <c r="D322" s="65" t="s">
        <v>143</v>
      </c>
      <c r="E322" s="67">
        <v>1</v>
      </c>
      <c r="F322" s="68"/>
      <c r="G322" s="69">
        <f>ROUND(E322*F322,2)</f>
        <v>0</v>
      </c>
      <c r="H322" s="24"/>
      <c r="I322" s="24"/>
      <c r="J322" s="24"/>
    </row>
    <row r="323" spans="1:10" ht="20.100000000000001" customHeight="1" thickBot="1">
      <c r="A323" s="213"/>
      <c r="B323" s="214"/>
      <c r="C323" s="215"/>
      <c r="D323" s="214"/>
      <c r="E323" s="216"/>
      <c r="F323" s="217"/>
      <c r="G323" s="217"/>
      <c r="H323" s="24"/>
      <c r="I323" s="24"/>
      <c r="J323" s="24"/>
    </row>
    <row r="324" spans="1:10" ht="20.100000000000001" customHeight="1" thickBot="1">
      <c r="A324" s="64">
        <v>124</v>
      </c>
      <c r="B324" s="65">
        <v>644941111</v>
      </c>
      <c r="C324" s="66" t="s">
        <v>321</v>
      </c>
      <c r="D324" s="65" t="s">
        <v>143</v>
      </c>
      <c r="E324" s="67">
        <v>1</v>
      </c>
      <c r="F324" s="68"/>
      <c r="G324" s="69">
        <f>ROUND(E324*F324,2)</f>
        <v>0</v>
      </c>
      <c r="H324" s="24"/>
      <c r="I324" s="24"/>
      <c r="J324" s="24"/>
    </row>
    <row r="325" spans="1:10" ht="20.100000000000001" customHeight="1" thickBot="1">
      <c r="A325" s="213"/>
      <c r="B325" s="214"/>
      <c r="C325" s="215"/>
      <c r="D325" s="214"/>
      <c r="E325" s="216"/>
      <c r="F325" s="217"/>
      <c r="G325" s="217"/>
      <c r="H325" s="24"/>
      <c r="I325" s="24"/>
      <c r="J325" s="24"/>
    </row>
    <row r="326" spans="1:10" ht="84" customHeight="1" thickBot="1">
      <c r="A326" s="81">
        <v>125</v>
      </c>
      <c r="B326" s="244" t="s">
        <v>214</v>
      </c>
      <c r="C326" s="243" t="s">
        <v>322</v>
      </c>
      <c r="D326" s="82" t="s">
        <v>143</v>
      </c>
      <c r="E326" s="84">
        <v>1</v>
      </c>
      <c r="F326" s="85"/>
      <c r="G326" s="86">
        <f>ROUND(E326*F326,2)</f>
        <v>0</v>
      </c>
      <c r="H326" s="24"/>
      <c r="I326" s="24"/>
      <c r="J326" s="24"/>
    </row>
    <row r="327" spans="1:10" ht="20.100000000000001" customHeight="1" thickBot="1">
      <c r="A327" s="213"/>
      <c r="B327" s="214"/>
      <c r="C327" s="215"/>
      <c r="D327" s="214"/>
      <c r="E327" s="216"/>
      <c r="F327" s="217"/>
      <c r="G327" s="217"/>
      <c r="H327" s="24"/>
      <c r="I327" s="24"/>
      <c r="J327" s="24"/>
    </row>
    <row r="328" spans="1:10" ht="20.100000000000001" customHeight="1" thickBot="1">
      <c r="A328" s="64">
        <v>126</v>
      </c>
      <c r="B328" s="65">
        <v>644941112</v>
      </c>
      <c r="C328" s="66" t="s">
        <v>314</v>
      </c>
      <c r="D328" s="65" t="s">
        <v>143</v>
      </c>
      <c r="E328" s="67">
        <v>1</v>
      </c>
      <c r="F328" s="68"/>
      <c r="G328" s="69">
        <f>ROUND(E328*F328,2)</f>
        <v>0</v>
      </c>
      <c r="H328" s="24"/>
      <c r="I328" s="24"/>
      <c r="J328" s="24"/>
    </row>
    <row r="329" spans="1:10" ht="20.100000000000001" customHeight="1" thickBot="1">
      <c r="A329" s="213"/>
      <c r="B329" s="214"/>
      <c r="C329" s="215"/>
      <c r="D329" s="214"/>
      <c r="E329" s="216"/>
      <c r="F329" s="217"/>
      <c r="G329" s="217"/>
      <c r="H329" s="24"/>
      <c r="I329" s="24"/>
      <c r="J329" s="24"/>
    </row>
    <row r="330" spans="1:10" ht="71.25" customHeight="1" thickBot="1">
      <c r="A330" s="81">
        <v>127</v>
      </c>
      <c r="B330" s="244" t="s">
        <v>214</v>
      </c>
      <c r="C330" s="243" t="s">
        <v>315</v>
      </c>
      <c r="D330" s="82" t="s">
        <v>143</v>
      </c>
      <c r="E330" s="84">
        <v>3</v>
      </c>
      <c r="F330" s="85"/>
      <c r="G330" s="86">
        <f>ROUND(E330*F330,2)</f>
        <v>0</v>
      </c>
      <c r="H330" s="24"/>
      <c r="I330" s="24"/>
      <c r="J330" s="24"/>
    </row>
    <row r="331" spans="1:10" ht="19.5" customHeight="1" thickBot="1">
      <c r="A331" s="245"/>
      <c r="B331" s="246"/>
      <c r="C331" s="272"/>
      <c r="D331" s="248"/>
      <c r="E331" s="249"/>
      <c r="F331" s="250"/>
      <c r="G331" s="250"/>
      <c r="H331" s="24"/>
      <c r="I331" s="24"/>
      <c r="J331" s="24"/>
    </row>
    <row r="332" spans="1:10" ht="19.5" customHeight="1" thickBot="1">
      <c r="A332" s="64">
        <v>128</v>
      </c>
      <c r="B332" s="65" t="s">
        <v>146</v>
      </c>
      <c r="C332" s="66" t="s">
        <v>319</v>
      </c>
      <c r="D332" s="65" t="s">
        <v>115</v>
      </c>
      <c r="E332" s="67">
        <v>15</v>
      </c>
      <c r="F332" s="68"/>
      <c r="G332" s="69">
        <f>ROUND(E332*F332,2)</f>
        <v>0</v>
      </c>
      <c r="H332" s="24"/>
      <c r="I332" s="24"/>
      <c r="J332" s="24"/>
    </row>
    <row r="333" spans="1:10" ht="19.5" customHeight="1" thickBot="1">
      <c r="A333" s="245"/>
      <c r="B333" s="246"/>
      <c r="C333" s="272"/>
      <c r="D333" s="248"/>
      <c r="E333" s="249"/>
      <c r="F333" s="250"/>
      <c r="G333" s="250"/>
      <c r="H333" s="24"/>
      <c r="I333" s="24"/>
      <c r="J333" s="24"/>
    </row>
    <row r="334" spans="1:10" ht="19.5" customHeight="1" thickBot="1">
      <c r="A334" s="64">
        <v>129</v>
      </c>
      <c r="B334" s="65" t="s">
        <v>146</v>
      </c>
      <c r="C334" s="66" t="s">
        <v>320</v>
      </c>
      <c r="D334" s="65" t="s">
        <v>143</v>
      </c>
      <c r="E334" s="67">
        <v>1</v>
      </c>
      <c r="F334" s="68"/>
      <c r="G334" s="69">
        <f>ROUND(E334*F334,2)</f>
        <v>0</v>
      </c>
      <c r="H334" s="24"/>
      <c r="I334" s="24"/>
      <c r="J334" s="24"/>
    </row>
    <row r="335" spans="1:10" ht="20.100000000000001" customHeight="1">
      <c r="A335" s="99"/>
      <c r="B335" s="100"/>
      <c r="C335" s="100" t="s">
        <v>1</v>
      </c>
      <c r="D335" s="100"/>
      <c r="E335" s="101"/>
      <c r="F335" s="102"/>
      <c r="G335" s="102">
        <f>G9+G107+G116+G120+G174+G195+G198+G209+G234+G255+G262+G279+G311</f>
        <v>0</v>
      </c>
      <c r="H335" s="24"/>
      <c r="I335" s="24"/>
      <c r="J335" s="24"/>
    </row>
    <row r="336" spans="1:10" ht="21.95" customHeight="1">
      <c r="A336" s="103"/>
      <c r="B336" s="103"/>
      <c r="C336" s="103"/>
      <c r="D336" s="103"/>
      <c r="E336" s="103"/>
      <c r="F336" s="103"/>
      <c r="G336" s="103"/>
      <c r="H336" s="26"/>
      <c r="I336" s="24"/>
      <c r="J336" s="24"/>
    </row>
    <row r="337" spans="1:10" ht="21.95" customHeight="1">
      <c r="A337" s="24"/>
      <c r="B337" s="24"/>
      <c r="C337" s="24"/>
      <c r="D337" s="24"/>
      <c r="E337" s="24"/>
      <c r="F337" s="24"/>
      <c r="G337" s="24"/>
      <c r="H337" s="24"/>
      <c r="I337" s="24"/>
      <c r="J337" s="24"/>
    </row>
    <row r="338" spans="1:10" ht="21.95" customHeight="1">
      <c r="A338" s="24"/>
      <c r="B338" s="24"/>
      <c r="C338" s="24"/>
      <c r="D338" s="24"/>
      <c r="E338" s="24"/>
      <c r="F338" s="24"/>
      <c r="G338" s="24"/>
      <c r="H338" s="24"/>
      <c r="I338" s="24"/>
      <c r="J338" s="24"/>
    </row>
    <row r="339" spans="1:10" ht="21.95" customHeight="1">
      <c r="A339" s="24"/>
      <c r="B339" s="24"/>
      <c r="C339" s="24"/>
      <c r="D339" s="24"/>
      <c r="E339" s="24"/>
      <c r="F339" s="24"/>
      <c r="G339" s="24"/>
      <c r="H339" s="24"/>
      <c r="I339" s="24"/>
      <c r="J339" s="24"/>
    </row>
    <row r="340" spans="1:10" ht="19.899999999999999" customHeight="1">
      <c r="A340" s="24"/>
      <c r="B340" s="24"/>
      <c r="C340" s="24"/>
      <c r="D340" s="24"/>
      <c r="E340" s="24"/>
      <c r="F340" s="24"/>
      <c r="G340" s="24"/>
      <c r="H340" s="24"/>
    </row>
    <row r="341" spans="1:10" ht="19.899999999999999" customHeight="1">
      <c r="A341" s="24"/>
      <c r="B341" s="24"/>
      <c r="C341" s="24"/>
      <c r="D341" s="24"/>
      <c r="E341" s="24"/>
      <c r="F341" s="24"/>
      <c r="G341" s="24"/>
      <c r="H341" s="24"/>
    </row>
    <row r="342" spans="1:10" ht="19.899999999999999" customHeight="1">
      <c r="A342" s="24"/>
      <c r="B342" s="24"/>
      <c r="C342" s="24"/>
      <c r="D342" s="24"/>
      <c r="E342" s="24"/>
      <c r="F342" s="24"/>
      <c r="G342" s="24"/>
      <c r="H342" s="24"/>
    </row>
    <row r="343" spans="1:10" ht="12.95" customHeight="1"/>
    <row r="344" spans="1:10" ht="12.95" customHeight="1"/>
    <row r="345" spans="1:10" ht="12.95" customHeight="1"/>
    <row r="346" spans="1:10" ht="12.95" customHeight="1"/>
    <row r="347" spans="1:10" ht="12.95" customHeight="1"/>
    <row r="348" spans="1:10" ht="12.95" customHeight="1"/>
    <row r="349" spans="1:10" ht="15" customHeight="1"/>
    <row r="350" spans="1:10" ht="15" customHeight="1"/>
    <row r="351" spans="1:10" ht="15" customHeight="1"/>
    <row r="352" spans="1:10" ht="15" customHeight="1"/>
    <row r="353" ht="12" customHeight="1"/>
    <row r="354" ht="12" customHeight="1"/>
    <row r="355" ht="21.6" customHeight="1"/>
    <row r="356" ht="21.6" customHeight="1"/>
    <row r="357" ht="12" customHeight="1"/>
    <row r="358" ht="21.6" customHeight="1"/>
    <row r="359" ht="13.15" customHeight="1"/>
    <row r="360" ht="21.6" customHeight="1"/>
    <row r="361" ht="21" customHeight="1"/>
  </sheetData>
  <mergeCells count="1">
    <mergeCell ref="A5:C5"/>
  </mergeCells>
  <pageMargins left="0.31496062992125984" right="0.31496062992125984" top="0.74803149606299213" bottom="0.74803149606299213" header="0.31496062992125984" footer="0.31496062992125984"/>
  <pageSetup fitToHeight="100" orientation="landscape" horizontalDpi="300" verticalDpi="300" r:id="rId1"/>
  <headerFooter alignWithMargins="0">
    <oddHeader xml:space="preserve">&amp;COprava fasády objektu "K" výpočetní středisko Nemocnice Děčín </oddHeader>
    <oddFooter>Stránka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30068-6CE8-4167-B217-4B381EEAD386}">
  <dimension ref="A1:J12"/>
  <sheetViews>
    <sheetView showGridLines="0" zoomScale="150" zoomScaleNormal="150" workbookViewId="0">
      <selection activeCell="F18" sqref="F18"/>
    </sheetView>
  </sheetViews>
  <sheetFormatPr defaultColWidth="11.42578125" defaultRowHeight="9.6" customHeight="1"/>
  <cols>
    <col min="1" max="1" width="4.7109375" style="1" customWidth="1"/>
    <col min="2" max="2" width="16.5703125" style="1" customWidth="1"/>
    <col min="3" max="3" width="70.85546875" style="1" customWidth="1"/>
    <col min="4" max="4" width="4.7109375" style="1" customWidth="1"/>
    <col min="5" max="5" width="11.7109375" style="1" customWidth="1"/>
    <col min="6" max="6" width="10.85546875" style="1" customWidth="1"/>
    <col min="7" max="7" width="12.7109375" style="1" customWidth="1"/>
    <col min="8" max="8" width="11.28515625" style="1" customWidth="1"/>
    <col min="9" max="9" width="15.5703125" style="1" customWidth="1"/>
    <col min="10" max="10" width="42.85546875" style="1" customWidth="1"/>
    <col min="11" max="16384" width="11.42578125" style="1"/>
  </cols>
  <sheetData>
    <row r="1" spans="1:10" ht="15" customHeight="1">
      <c r="A1" s="291" t="s">
        <v>13</v>
      </c>
      <c r="B1" s="116"/>
      <c r="C1" s="116"/>
      <c r="D1" s="116"/>
      <c r="E1" s="116"/>
      <c r="F1" s="116"/>
      <c r="G1" s="116"/>
    </row>
    <row r="2" spans="1:10" ht="21.95" customHeight="1">
      <c r="A2" s="292" t="s">
        <v>378</v>
      </c>
      <c r="B2" s="293"/>
      <c r="C2" s="293"/>
      <c r="D2" s="293"/>
      <c r="E2" s="293"/>
      <c r="F2" s="293"/>
      <c r="G2" s="293"/>
      <c r="H2" s="24"/>
      <c r="I2" s="24"/>
      <c r="J2" s="24"/>
    </row>
    <row r="3" spans="1:10" ht="21.95" customHeight="1">
      <c r="A3" s="292" t="s">
        <v>114</v>
      </c>
      <c r="B3" s="293"/>
      <c r="C3" s="293"/>
      <c r="D3" s="293"/>
      <c r="E3" s="293" t="s">
        <v>12</v>
      </c>
      <c r="F3" s="293"/>
      <c r="G3" s="293"/>
      <c r="H3" s="24"/>
      <c r="I3" s="24"/>
      <c r="J3" s="24"/>
    </row>
    <row r="4" spans="1:10" ht="21.95" customHeight="1">
      <c r="A4" s="292" t="s">
        <v>11</v>
      </c>
      <c r="B4" s="293"/>
      <c r="C4" s="293"/>
      <c r="D4" s="293"/>
      <c r="E4" s="293" t="s">
        <v>10</v>
      </c>
      <c r="F4" s="293"/>
      <c r="G4" s="293"/>
      <c r="H4" s="24"/>
      <c r="I4" s="24"/>
      <c r="J4" s="24"/>
    </row>
    <row r="5" spans="1:10" ht="21.95" customHeight="1">
      <c r="A5" s="294" t="s">
        <v>376</v>
      </c>
      <c r="B5" s="295"/>
      <c r="C5" s="295"/>
      <c r="D5" s="293"/>
      <c r="E5" s="293" t="s">
        <v>9</v>
      </c>
      <c r="F5" s="293"/>
      <c r="G5" s="293"/>
      <c r="H5" s="24"/>
      <c r="I5" s="24"/>
      <c r="J5" s="24"/>
    </row>
    <row r="6" spans="1:10" ht="21.95" customHeight="1" thickBot="1">
      <c r="A6" s="293" t="s">
        <v>395</v>
      </c>
      <c r="B6" s="293"/>
      <c r="C6" s="293"/>
      <c r="D6" s="293"/>
      <c r="E6" s="293" t="s">
        <v>394</v>
      </c>
      <c r="F6" s="293"/>
      <c r="G6" s="293"/>
      <c r="H6" s="24"/>
      <c r="I6" s="24"/>
      <c r="J6" s="24"/>
    </row>
    <row r="7" spans="1:10" ht="26.25" customHeight="1" thickBot="1">
      <c r="A7" s="296" t="s">
        <v>8</v>
      </c>
      <c r="B7" s="296" t="s">
        <v>7</v>
      </c>
      <c r="C7" s="296" t="s">
        <v>6</v>
      </c>
      <c r="D7" s="296" t="s">
        <v>5</v>
      </c>
      <c r="E7" s="296" t="s">
        <v>4</v>
      </c>
      <c r="F7" s="296"/>
      <c r="G7" s="296" t="s">
        <v>3</v>
      </c>
      <c r="H7" s="24"/>
      <c r="I7" s="24"/>
      <c r="J7" s="24"/>
    </row>
    <row r="8" spans="1:10" ht="21.95" customHeight="1" thickBot="1">
      <c r="A8" s="296" t="s">
        <v>2</v>
      </c>
      <c r="B8" s="296">
        <v>2</v>
      </c>
      <c r="C8" s="296">
        <v>3</v>
      </c>
      <c r="D8" s="296">
        <v>4</v>
      </c>
      <c r="E8" s="296">
        <v>5</v>
      </c>
      <c r="F8" s="296"/>
      <c r="G8" s="296">
        <v>7</v>
      </c>
      <c r="H8" s="24"/>
      <c r="I8" s="24"/>
      <c r="J8" s="24"/>
    </row>
    <row r="9" spans="1:10" ht="20.100000000000001" customHeight="1">
      <c r="A9" s="59"/>
      <c r="B9" s="60">
        <v>1</v>
      </c>
      <c r="C9" s="61" t="s">
        <v>365</v>
      </c>
      <c r="D9" s="61"/>
      <c r="E9" s="62"/>
      <c r="F9" s="63"/>
      <c r="G9" s="63">
        <f>SUM(G10:G12)</f>
        <v>0</v>
      </c>
      <c r="H9" s="24"/>
      <c r="I9" s="24"/>
      <c r="J9" s="24"/>
    </row>
    <row r="10" spans="1:10" ht="20.100000000000001" customHeight="1">
      <c r="A10" s="24"/>
      <c r="B10" s="287" t="s">
        <v>366</v>
      </c>
      <c r="C10" s="24" t="s">
        <v>367</v>
      </c>
      <c r="D10" s="24"/>
      <c r="E10" s="24"/>
      <c r="F10" s="24"/>
      <c r="G10" s="288"/>
    </row>
    <row r="11" spans="1:10" ht="20.100000000000001" customHeight="1">
      <c r="A11" s="24"/>
      <c r="B11" s="287" t="s">
        <v>368</v>
      </c>
      <c r="C11" s="24" t="s">
        <v>369</v>
      </c>
      <c r="D11" s="24"/>
      <c r="E11" s="24"/>
      <c r="F11" s="24"/>
      <c r="G11" s="288"/>
    </row>
    <row r="12" spans="1:10" ht="20.100000000000001" customHeight="1">
      <c r="A12" s="24"/>
      <c r="B12" s="287" t="s">
        <v>370</v>
      </c>
      <c r="C12" s="24" t="s">
        <v>371</v>
      </c>
      <c r="D12" s="24"/>
      <c r="E12" s="24"/>
      <c r="F12" s="24"/>
      <c r="G12" s="288"/>
    </row>
  </sheetData>
  <mergeCells count="1">
    <mergeCell ref="A5:C5"/>
  </mergeCells>
  <pageMargins left="0.31496062992125984" right="0.31496062992125984" top="0.74803149606299213" bottom="0.74803149606299213" header="0.31496062992125984" footer="0.31496062992125984"/>
  <pageSetup fitToHeight="100" orientation="landscape" horizontalDpi="300" verticalDpi="300" r:id="rId1"/>
  <headerFooter alignWithMargins="0">
    <oddHeader xml:space="preserve">&amp;COprava fasády objektu "K" výpočetní středisko Nemocnice Děčín  </oddHead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rekapitulace </vt:lpstr>
      <vt:lpstr>položkový rozpočet</vt:lpstr>
      <vt:lpstr>VRN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Danča</dc:creator>
  <cp:lastModifiedBy>Daniela</cp:lastModifiedBy>
  <cp:lastPrinted>2022-12-22T08:35:32Z</cp:lastPrinted>
  <dcterms:created xsi:type="dcterms:W3CDTF">2005-01-20T19:59:56Z</dcterms:created>
  <dcterms:modified xsi:type="dcterms:W3CDTF">2022-12-22T08:38:05Z</dcterms:modified>
</cp:coreProperties>
</file>