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a\06.ARCHIV\ROZPOČTY\2023\"/>
    </mc:Choice>
  </mc:AlternateContent>
  <xr:revisionPtr revIDLastSave="0" documentId="8_{38CA24D4-2A2E-4344-9426-D45B878A9ADE}" xr6:coauthVersionLast="47" xr6:coauthVersionMax="47" xr10:uidLastSave="{00000000-0000-0000-0000-000000000000}"/>
  <bookViews>
    <workbookView xWindow="-120" yWindow="-120" windowWidth="29040" windowHeight="15840" tabRatio="673" xr2:uid="{00000000-000D-0000-FFFF-FFFF00000000}"/>
  </bookViews>
  <sheets>
    <sheet name="krycí list" sheetId="16" r:id="rId1"/>
    <sheet name="rekapitulace " sheetId="15" r:id="rId2"/>
    <sheet name="položkový rozpočet" sheetId="24" r:id="rId3"/>
    <sheet name="VRN" sheetId="2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2" i="16" l="1"/>
  <c r="R24" i="16"/>
  <c r="R21" i="16"/>
  <c r="R27" i="16" s="1"/>
  <c r="G453" i="24"/>
  <c r="G449" i="24"/>
  <c r="G90" i="24"/>
  <c r="G317" i="24"/>
  <c r="E255" i="24"/>
  <c r="E254" i="24" s="1"/>
  <c r="G254" i="24" s="1"/>
  <c r="G279" i="24"/>
  <c r="G117" i="24"/>
  <c r="G96" i="24"/>
  <c r="G92" i="24"/>
  <c r="G88" i="24"/>
  <c r="G69" i="24"/>
  <c r="G51" i="24"/>
  <c r="G49" i="24"/>
  <c r="G25" i="24"/>
  <c r="E276" i="24"/>
  <c r="E275" i="24" s="1"/>
  <c r="G275" i="24" s="1"/>
  <c r="E274" i="24"/>
  <c r="E273" i="24" s="1"/>
  <c r="E277" i="24" s="1"/>
  <c r="G277" i="24" s="1"/>
  <c r="E272" i="24"/>
  <c r="E271" i="24" s="1"/>
  <c r="G271" i="24" s="1"/>
  <c r="E264" i="24"/>
  <c r="E263" i="24"/>
  <c r="E262" i="24"/>
  <c r="E248" i="24"/>
  <c r="E247" i="24" s="1"/>
  <c r="G247" i="24" s="1"/>
  <c r="E260" i="24"/>
  <c r="E259" i="24"/>
  <c r="E257" i="24"/>
  <c r="E256" i="24" s="1"/>
  <c r="G256" i="24" s="1"/>
  <c r="G419" i="24"/>
  <c r="G417" i="24"/>
  <c r="E386" i="24"/>
  <c r="E385" i="24"/>
  <c r="E384" i="24"/>
  <c r="E382" i="24"/>
  <c r="E381" i="24" s="1"/>
  <c r="G381" i="24" s="1"/>
  <c r="G447" i="24"/>
  <c r="E358" i="24"/>
  <c r="E357" i="24" s="1"/>
  <c r="G357" i="24" s="1"/>
  <c r="E344" i="24"/>
  <c r="E350" i="24"/>
  <c r="E349" i="24"/>
  <c r="E348" i="24"/>
  <c r="B16" i="15"/>
  <c r="E409" i="24"/>
  <c r="E408" i="24" s="1"/>
  <c r="G408" i="24" s="1"/>
  <c r="E287" i="24"/>
  <c r="E286" i="24"/>
  <c r="B21" i="15"/>
  <c r="E399" i="24"/>
  <c r="E398" i="24" s="1"/>
  <c r="G398" i="24" s="1"/>
  <c r="E397" i="24"/>
  <c r="E396" i="24" s="1"/>
  <c r="G396" i="24" s="1"/>
  <c r="E395" i="24"/>
  <c r="E394" i="24" s="1"/>
  <c r="G394" i="24" s="1"/>
  <c r="B24" i="15"/>
  <c r="E441" i="24"/>
  <c r="E440" i="24" s="1"/>
  <c r="G440" i="24" s="1"/>
  <c r="E439" i="24"/>
  <c r="E438" i="24"/>
  <c r="E436" i="24"/>
  <c r="E435" i="24"/>
  <c r="E434" i="24"/>
  <c r="E433" i="24"/>
  <c r="E414" i="24"/>
  <c r="E380" i="24"/>
  <c r="E379" i="24" s="1"/>
  <c r="G379" i="24" s="1"/>
  <c r="E378" i="24"/>
  <c r="E377" i="24"/>
  <c r="E376" i="24"/>
  <c r="E375" i="24"/>
  <c r="E373" i="24"/>
  <c r="E372" i="24" s="1"/>
  <c r="G372" i="24" s="1"/>
  <c r="E370" i="24"/>
  <c r="G370" i="24" s="1"/>
  <c r="E369" i="24"/>
  <c r="E368" i="24"/>
  <c r="G365" i="24"/>
  <c r="G363" i="24"/>
  <c r="E362" i="24"/>
  <c r="E361" i="24" s="1"/>
  <c r="G361" i="24" s="1"/>
  <c r="E360" i="24"/>
  <c r="G355" i="24"/>
  <c r="E354" i="24"/>
  <c r="E353" i="24" s="1"/>
  <c r="G353" i="24" s="1"/>
  <c r="E352" i="24"/>
  <c r="E351" i="24" s="1"/>
  <c r="G351" i="24" s="1"/>
  <c r="E347" i="24"/>
  <c r="E346" i="24"/>
  <c r="E345" i="24"/>
  <c r="E343" i="24"/>
  <c r="E342" i="24"/>
  <c r="E341" i="24"/>
  <c r="G338" i="24"/>
  <c r="E337" i="24"/>
  <c r="E336" i="24" s="1"/>
  <c r="G336" i="24" s="1"/>
  <c r="G334" i="24"/>
  <c r="E327" i="24"/>
  <c r="E326" i="24" s="1"/>
  <c r="G326" i="24" s="1"/>
  <c r="E333" i="24"/>
  <c r="E332" i="24" s="1"/>
  <c r="G332" i="24" s="1"/>
  <c r="E331" i="24"/>
  <c r="E330" i="24" s="1"/>
  <c r="G330" i="24" s="1"/>
  <c r="E329" i="24"/>
  <c r="E328" i="24" s="1"/>
  <c r="G328" i="24" s="1"/>
  <c r="E320" i="24"/>
  <c r="E312" i="24"/>
  <c r="E311" i="24" s="1"/>
  <c r="G311" i="24" s="1"/>
  <c r="E316" i="24"/>
  <c r="B18" i="15"/>
  <c r="B17" i="15"/>
  <c r="B14" i="15"/>
  <c r="B13" i="15"/>
  <c r="B12" i="15"/>
  <c r="B11" i="15"/>
  <c r="E294" i="24"/>
  <c r="E293" i="24"/>
  <c r="E292" i="24"/>
  <c r="E291" i="24"/>
  <c r="E258" i="24" l="1"/>
  <c r="G258" i="24" s="1"/>
  <c r="C15" i="15"/>
  <c r="G273" i="24"/>
  <c r="E267" i="24"/>
  <c r="G267" i="24" s="1"/>
  <c r="E269" i="24"/>
  <c r="G269" i="24" s="1"/>
  <c r="E249" i="24"/>
  <c r="G249" i="24" s="1"/>
  <c r="I254" i="24"/>
  <c r="I256" i="24"/>
  <c r="E383" i="24"/>
  <c r="G383" i="24" s="1"/>
  <c r="E340" i="24"/>
  <c r="G340" i="24" s="1"/>
  <c r="E285" i="24"/>
  <c r="E392" i="24"/>
  <c r="G392" i="24" s="1"/>
  <c r="E437" i="24"/>
  <c r="G437" i="24" s="1"/>
  <c r="E432" i="24"/>
  <c r="G432" i="24" s="1"/>
  <c r="C23" i="15" s="1"/>
  <c r="E374" i="24"/>
  <c r="G374" i="24" s="1"/>
  <c r="E367" i="24"/>
  <c r="G367" i="24" s="1"/>
  <c r="E359" i="24"/>
  <c r="G359" i="24" s="1"/>
  <c r="E319" i="24"/>
  <c r="G319" i="24" s="1"/>
  <c r="E315" i="24"/>
  <c r="G315" i="24" s="1"/>
  <c r="E290" i="24"/>
  <c r="E295" i="24" l="1"/>
  <c r="G295" i="24" s="1"/>
  <c r="G290" i="24"/>
  <c r="E283" i="24"/>
  <c r="G283" i="24" s="1"/>
  <c r="G285" i="24"/>
  <c r="G387" i="24"/>
  <c r="G325" i="24" s="1"/>
  <c r="E265" i="24"/>
  <c r="G265" i="24" s="1"/>
  <c r="E251" i="24"/>
  <c r="G251" i="24" s="1"/>
  <c r="G246" i="24" s="1"/>
  <c r="E430" i="24"/>
  <c r="E321" i="24"/>
  <c r="G321" i="24" s="1"/>
  <c r="G282" i="24" l="1"/>
  <c r="E15" i="15"/>
  <c r="D15" i="15" s="1"/>
  <c r="E16" i="15"/>
  <c r="C16" i="15"/>
  <c r="D16" i="15" l="1"/>
  <c r="E233" i="24" l="1"/>
  <c r="E232" i="24" s="1"/>
  <c r="G232" i="24" s="1"/>
  <c r="E235" i="24"/>
  <c r="E234" i="24" s="1"/>
  <c r="E231" i="24"/>
  <c r="E230" i="24"/>
  <c r="E229" i="24"/>
  <c r="E227" i="24"/>
  <c r="E226" i="24"/>
  <c r="E225" i="24"/>
  <c r="E206" i="24"/>
  <c r="E205" i="24"/>
  <c r="E204" i="24"/>
  <c r="E203" i="24"/>
  <c r="E202" i="24"/>
  <c r="E201" i="24"/>
  <c r="E219" i="24"/>
  <c r="E218" i="24" s="1"/>
  <c r="G218" i="24" s="1"/>
  <c r="E217" i="24"/>
  <c r="E216" i="24"/>
  <c r="E215" i="24"/>
  <c r="E214" i="24"/>
  <c r="E210" i="24"/>
  <c r="E209" i="24" s="1"/>
  <c r="E39" i="24"/>
  <c r="E38" i="24"/>
  <c r="E37" i="24"/>
  <c r="E36" i="24"/>
  <c r="E35" i="24"/>
  <c r="E34" i="24"/>
  <c r="E33" i="24"/>
  <c r="E41" i="24"/>
  <c r="E40" i="24" s="1"/>
  <c r="E198" i="24"/>
  <c r="E197" i="24"/>
  <c r="E196" i="24"/>
  <c r="E195" i="24"/>
  <c r="E193" i="24"/>
  <c r="E192" i="24"/>
  <c r="E191" i="24"/>
  <c r="E190" i="24"/>
  <c r="E189" i="24"/>
  <c r="E188" i="24"/>
  <c r="E187" i="24"/>
  <c r="E186" i="24"/>
  <c r="E185" i="24"/>
  <c r="E184" i="24"/>
  <c r="E183" i="24"/>
  <c r="E182" i="24"/>
  <c r="E179" i="24"/>
  <c r="E178" i="24"/>
  <c r="E177" i="24"/>
  <c r="E176" i="24"/>
  <c r="E175" i="24"/>
  <c r="E174" i="24"/>
  <c r="E173" i="24"/>
  <c r="E170" i="24"/>
  <c r="E169" i="24"/>
  <c r="E168" i="24"/>
  <c r="E167" i="24"/>
  <c r="E166" i="24"/>
  <c r="E165" i="24"/>
  <c r="E164" i="24"/>
  <c r="E163" i="24"/>
  <c r="E162" i="24"/>
  <c r="E161" i="24"/>
  <c r="E159" i="24"/>
  <c r="E158" i="24"/>
  <c r="E157" i="24"/>
  <c r="E156" i="24"/>
  <c r="E155" i="24"/>
  <c r="E154" i="24"/>
  <c r="E153" i="24"/>
  <c r="E152" i="24"/>
  <c r="E151" i="24"/>
  <c r="E150" i="24"/>
  <c r="E149" i="24"/>
  <c r="E148" i="24"/>
  <c r="E145" i="24"/>
  <c r="E144" i="24"/>
  <c r="E143" i="24"/>
  <c r="E142" i="24"/>
  <c r="E141" i="24"/>
  <c r="E140" i="24"/>
  <c r="E139" i="24"/>
  <c r="E138" i="24"/>
  <c r="E137" i="24"/>
  <c r="E135" i="24"/>
  <c r="E132" i="24"/>
  <c r="E129" i="24"/>
  <c r="E126" i="24"/>
  <c r="E120" i="24"/>
  <c r="E119" i="24" s="1"/>
  <c r="E207" i="24"/>
  <c r="G207" i="24" s="1"/>
  <c r="I117" i="24"/>
  <c r="E114" i="24"/>
  <c r="E113" i="24" s="1"/>
  <c r="I113" i="24" s="1"/>
  <c r="E110" i="24"/>
  <c r="E109" i="24" s="1"/>
  <c r="G109" i="24" s="1"/>
  <c r="E108" i="24"/>
  <c r="E107" i="24" s="1"/>
  <c r="G107" i="24" s="1"/>
  <c r="E95" i="24"/>
  <c r="E94" i="24" s="1"/>
  <c r="G94" i="24" s="1"/>
  <c r="E87" i="24"/>
  <c r="E86" i="24"/>
  <c r="E85" i="24"/>
  <c r="E84" i="24"/>
  <c r="E83" i="24"/>
  <c r="E82" i="24"/>
  <c r="E81" i="24"/>
  <c r="E76" i="24"/>
  <c r="E75" i="24" s="1"/>
  <c r="E72" i="24"/>
  <c r="E71" i="24" s="1"/>
  <c r="G71" i="24" s="1"/>
  <c r="I69" i="24"/>
  <c r="E68" i="24"/>
  <c r="E67" i="24" s="1"/>
  <c r="G67" i="24" s="1"/>
  <c r="E64" i="24"/>
  <c r="E65" i="24"/>
  <c r="E66" i="24"/>
  <c r="E60" i="24"/>
  <c r="E59" i="24" s="1"/>
  <c r="G59" i="24" s="1"/>
  <c r="E58" i="24"/>
  <c r="E57" i="24" s="1"/>
  <c r="G57" i="24" s="1"/>
  <c r="E56" i="24"/>
  <c r="E55" i="24"/>
  <c r="E54" i="24"/>
  <c r="I51" i="24"/>
  <c r="I49" i="24"/>
  <c r="E48" i="24"/>
  <c r="E47" i="24"/>
  <c r="E46" i="24"/>
  <c r="E45" i="24"/>
  <c r="E44" i="24"/>
  <c r="E43" i="24"/>
  <c r="E31" i="24"/>
  <c r="E30" i="24"/>
  <c r="E29" i="24"/>
  <c r="E28" i="24"/>
  <c r="E23" i="24"/>
  <c r="E22" i="24" s="1"/>
  <c r="E21" i="24"/>
  <c r="E20" i="24" s="1"/>
  <c r="E19" i="24"/>
  <c r="E18" i="24"/>
  <c r="E16" i="24"/>
  <c r="E13" i="24"/>
  <c r="E14" i="24"/>
  <c r="E11" i="24"/>
  <c r="E10" i="24" s="1"/>
  <c r="G10" i="24" s="1"/>
  <c r="G106" i="24" l="1"/>
  <c r="I22" i="24"/>
  <c r="G22" i="24"/>
  <c r="E211" i="24"/>
  <c r="G211" i="24" s="1"/>
  <c r="G209" i="24"/>
  <c r="I20" i="24"/>
  <c r="G20" i="24"/>
  <c r="I40" i="24"/>
  <c r="G40" i="24"/>
  <c r="I234" i="24"/>
  <c r="G234" i="24"/>
  <c r="I75" i="24"/>
  <c r="G75" i="24"/>
  <c r="I119" i="24"/>
  <c r="G119" i="24"/>
  <c r="G116" i="24" s="1"/>
  <c r="E224" i="24"/>
  <c r="G224" i="24" s="1"/>
  <c r="E73" i="24"/>
  <c r="I73" i="24" s="1"/>
  <c r="E390" i="24"/>
  <c r="I71" i="24"/>
  <c r="E242" i="24"/>
  <c r="G242" i="24" s="1"/>
  <c r="C239" i="24"/>
  <c r="E239" i="24" s="1"/>
  <c r="E238" i="24" s="1"/>
  <c r="G238" i="24" s="1"/>
  <c r="C237" i="24"/>
  <c r="E237" i="24" s="1"/>
  <c r="E236" i="24" s="1"/>
  <c r="E228" i="24"/>
  <c r="G228" i="24" s="1"/>
  <c r="I232" i="24"/>
  <c r="I218" i="24"/>
  <c r="C14" i="15"/>
  <c r="E213" i="24"/>
  <c r="E200" i="24"/>
  <c r="E194" i="24"/>
  <c r="E32" i="24"/>
  <c r="G32" i="24" s="1"/>
  <c r="E160" i="24"/>
  <c r="E42" i="24"/>
  <c r="E181" i="24"/>
  <c r="E147" i="24"/>
  <c r="E172" i="24"/>
  <c r="E123" i="24"/>
  <c r="I109" i="24"/>
  <c r="G113" i="24"/>
  <c r="I107" i="24"/>
  <c r="I94" i="24"/>
  <c r="I67" i="24"/>
  <c r="E63" i="24"/>
  <c r="E53" i="24"/>
  <c r="I59" i="24"/>
  <c r="I57" i="24"/>
  <c r="E27" i="24"/>
  <c r="I25" i="24"/>
  <c r="E12" i="24"/>
  <c r="G12" i="24" s="1"/>
  <c r="E17" i="24"/>
  <c r="G457" i="24"/>
  <c r="G455" i="24"/>
  <c r="C24" i="15" s="1"/>
  <c r="G451" i="24"/>
  <c r="G445" i="24"/>
  <c r="G425" i="24"/>
  <c r="G423" i="24"/>
  <c r="G421" i="24"/>
  <c r="G415" i="24"/>
  <c r="G444" i="24" l="1"/>
  <c r="I27" i="24"/>
  <c r="G27" i="24"/>
  <c r="E61" i="24"/>
  <c r="G53" i="24"/>
  <c r="I63" i="24"/>
  <c r="G63" i="24"/>
  <c r="E222" i="24"/>
  <c r="G222" i="24" s="1"/>
  <c r="G200" i="24"/>
  <c r="I213" i="24"/>
  <c r="G213" i="24"/>
  <c r="I236" i="24"/>
  <c r="G236" i="24"/>
  <c r="G112" i="24"/>
  <c r="E12" i="15" s="1"/>
  <c r="I123" i="24"/>
  <c r="G123" i="24"/>
  <c r="I17" i="24"/>
  <c r="G17" i="24"/>
  <c r="I42" i="24"/>
  <c r="G42" i="24"/>
  <c r="E309" i="24"/>
  <c r="G73" i="24"/>
  <c r="G390" i="24"/>
  <c r="E400" i="24"/>
  <c r="C22" i="15"/>
  <c r="E11" i="15"/>
  <c r="D11" i="15" s="1"/>
  <c r="E146" i="24"/>
  <c r="E13" i="15"/>
  <c r="I53" i="24"/>
  <c r="I32" i="24"/>
  <c r="E313" i="24" l="1"/>
  <c r="G313" i="24" s="1"/>
  <c r="G309" i="24"/>
  <c r="I61" i="24"/>
  <c r="G61" i="24"/>
  <c r="E78" i="24"/>
  <c r="G146" i="24"/>
  <c r="E24" i="15"/>
  <c r="D24" i="15" s="1"/>
  <c r="G400" i="24"/>
  <c r="E402" i="24"/>
  <c r="E77" i="24"/>
  <c r="G77" i="24" s="1"/>
  <c r="I207" i="24"/>
  <c r="G9" i="25"/>
  <c r="G402" i="24" l="1"/>
  <c r="E404" i="24"/>
  <c r="I77" i="24"/>
  <c r="E220" i="24"/>
  <c r="I228" i="24"/>
  <c r="B23" i="15"/>
  <c r="B22" i="15"/>
  <c r="B19" i="15"/>
  <c r="E240" i="24" l="1"/>
  <c r="G220" i="24"/>
  <c r="G404" i="24"/>
  <c r="E406" i="24"/>
  <c r="G406" i="24" s="1"/>
  <c r="I242" i="24"/>
  <c r="I240" i="24"/>
  <c r="C19" i="15"/>
  <c r="C25" i="15" s="1"/>
  <c r="G430" i="24"/>
  <c r="E413" i="24"/>
  <c r="G413" i="24" s="1"/>
  <c r="G410" i="24" l="1"/>
  <c r="E244" i="24"/>
  <c r="G244" i="24" s="1"/>
  <c r="G240" i="24"/>
  <c r="G122" i="24" s="1"/>
  <c r="G442" i="24"/>
  <c r="G429" i="24" s="1"/>
  <c r="G427" i="24"/>
  <c r="G412" i="24" s="1"/>
  <c r="G323" i="24"/>
  <c r="G308" i="24" s="1"/>
  <c r="I211" i="24"/>
  <c r="I222" i="24"/>
  <c r="E15" i="24"/>
  <c r="G15" i="24" s="1"/>
  <c r="B20" i="15"/>
  <c r="G389" i="24" l="1"/>
  <c r="E21" i="15" s="1"/>
  <c r="D21" i="15" s="1"/>
  <c r="I244" i="24"/>
  <c r="E22" i="15"/>
  <c r="D22" i="15" s="1"/>
  <c r="I12" i="24"/>
  <c r="I10" i="24"/>
  <c r="I15" i="24"/>
  <c r="E23" i="15"/>
  <c r="D23" i="15" s="1"/>
  <c r="E19" i="15"/>
  <c r="D19" i="15" s="1"/>
  <c r="I220" i="24"/>
  <c r="E297" i="24"/>
  <c r="G297" i="24" s="1"/>
  <c r="E299" i="24" l="1"/>
  <c r="G299" i="24" s="1"/>
  <c r="I200" i="24"/>
  <c r="E301" i="24" l="1"/>
  <c r="G301" i="24" s="1"/>
  <c r="E303" i="24"/>
  <c r="G303" i="24" s="1"/>
  <c r="I209" i="24"/>
  <c r="I306" i="24" s="1"/>
  <c r="G289" i="24" l="1"/>
  <c r="E14" i="15"/>
  <c r="E306" i="24"/>
  <c r="G306" i="24" s="1"/>
  <c r="D14" i="15" l="1"/>
  <c r="E17" i="15"/>
  <c r="G305" i="24"/>
  <c r="E21" i="16"/>
  <c r="D12" i="15"/>
  <c r="E18" i="15" l="1"/>
  <c r="I88" i="24"/>
  <c r="I92" i="24"/>
  <c r="D18" i="15" l="1"/>
  <c r="I98" i="24"/>
  <c r="E98" i="24" s="1"/>
  <c r="G98" i="24" s="1"/>
  <c r="B10" i="15"/>
  <c r="E104" i="24" l="1"/>
  <c r="G104" i="24" s="1"/>
  <c r="E100" i="24"/>
  <c r="E103" i="24" l="1"/>
  <c r="G100" i="24"/>
  <c r="E102" i="24"/>
  <c r="G102" i="24" s="1"/>
  <c r="G9" i="24" s="1"/>
  <c r="G458" i="24" s="1"/>
  <c r="E20" i="15"/>
  <c r="C9" i="15" l="1"/>
  <c r="E10" i="15" l="1"/>
  <c r="E25" i="15" s="1"/>
  <c r="D13" i="15"/>
  <c r="D10" i="15" l="1"/>
  <c r="D17" i="15"/>
  <c r="D20" i="15" l="1"/>
  <c r="D25" i="15" s="1"/>
  <c r="E22" i="16" l="1"/>
  <c r="E27" i="16" s="1"/>
  <c r="R30" i="16" s="1"/>
  <c r="P32" i="16" l="1"/>
  <c r="R32" i="16" s="1"/>
  <c r="R33" i="16" s="1"/>
  <c r="D9" i="15"/>
  <c r="E9" i="15" s="1"/>
</calcChain>
</file>

<file path=xl/sharedStrings.xml><?xml version="1.0" encoding="utf-8"?>
<sst xmlns="http://schemas.openxmlformats.org/spreadsheetml/2006/main" count="811" uniqueCount="562">
  <si>
    <t>bm</t>
  </si>
  <si>
    <t>Celkem</t>
  </si>
  <si>
    <t>1</t>
  </si>
  <si>
    <t>Cena celkem</t>
  </si>
  <si>
    <t>Množství celkem</t>
  </si>
  <si>
    <t>MJ</t>
  </si>
  <si>
    <t>Popis</t>
  </si>
  <si>
    <t>Kód položky</t>
  </si>
  <si>
    <t>P.Č.</t>
  </si>
  <si>
    <t xml:space="preserve">Zpracoval:   </t>
  </si>
  <si>
    <t xml:space="preserve">EČO:   </t>
  </si>
  <si>
    <t xml:space="preserve">Část:   </t>
  </si>
  <si>
    <t xml:space="preserve">JKSO:   </t>
  </si>
  <si>
    <t>ROZPOČET S VÝKAZEM VÝMĚR</t>
  </si>
  <si>
    <t>REKAPITULACE ROZPOČTU</t>
  </si>
  <si>
    <t>Kód</t>
  </si>
  <si>
    <t>Dodávka</t>
  </si>
  <si>
    <t>Montáž</t>
  </si>
  <si>
    <t>2</t>
  </si>
  <si>
    <t>3</t>
  </si>
  <si>
    <t>4</t>
  </si>
  <si>
    <t>5</t>
  </si>
  <si>
    <t>6</t>
  </si>
  <si>
    <t>7</t>
  </si>
  <si>
    <t xml:space="preserve">Práce a dodávky </t>
  </si>
  <si>
    <t>KRYCÍ LIST ROZPOČTU</t>
  </si>
  <si>
    <t>Název stavby</t>
  </si>
  <si>
    <t>JKSO</t>
  </si>
  <si>
    <t>Název objektu</t>
  </si>
  <si>
    <t>EČO</t>
  </si>
  <si>
    <t>Název části</t>
  </si>
  <si>
    <t>Místo</t>
  </si>
  <si>
    <t>IČO</t>
  </si>
  <si>
    <t>DIČ</t>
  </si>
  <si>
    <t>Objednatel</t>
  </si>
  <si>
    <t>Projektant</t>
  </si>
  <si>
    <t>Zhotovitel</t>
  </si>
  <si>
    <t>Rozpočet číslo</t>
  </si>
  <si>
    <t>Zpracoval</t>
  </si>
  <si>
    <t>Dne</t>
  </si>
  <si>
    <t xml:space="preserve"> 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</si>
  <si>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</si>
  <si>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</si>
  <si>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</si>
  <si>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</si>
  <si>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</si>
  <si>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</si>
  <si>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 Rozpočtové náklady v</t>
  </si>
  <si>
    <t>CZK</t>
  </si>
  <si>
    <t>A</t>
  </si>
  <si>
    <t>Základní rozp. náklady</t>
  </si>
  <si>
    <t>B</t>
  </si>
  <si>
    <t>Doplňkové náklady</t>
  </si>
  <si>
    <t>C</t>
  </si>
  <si>
    <t>Náklady na umístění stavby</t>
  </si>
  <si>
    <t>HSV</t>
  </si>
  <si>
    <t>Dodávky</t>
  </si>
  <si>
    <t>8</t>
  </si>
  <si>
    <t>Práce přesčas</t>
  </si>
  <si>
    <t>13</t>
  </si>
  <si>
    <t>Zařízení staveniště</t>
  </si>
  <si>
    <t>9</t>
  </si>
  <si>
    <t>Bez pevné podl.</t>
  </si>
  <si>
    <t>14</t>
  </si>
  <si>
    <t>Mimostav. doprava</t>
  </si>
  <si>
    <t>PSV</t>
  </si>
  <si>
    <t>10</t>
  </si>
  <si>
    <t>Kulturní památka</t>
  </si>
  <si>
    <t>15</t>
  </si>
  <si>
    <t>Územní vlivy</t>
  </si>
  <si>
    <t>11</t>
  </si>
  <si>
    <t>16</t>
  </si>
  <si>
    <t>Provozní vlivy</t>
  </si>
  <si>
    <t>"M"</t>
  </si>
  <si>
    <t>17</t>
  </si>
  <si>
    <t>Ostatní</t>
  </si>
  <si>
    <t>18</t>
  </si>
  <si>
    <t>NUS z rozpočtu</t>
  </si>
  <si>
    <t>ZRN (ř. 1-6)</t>
  </si>
  <si>
    <t>12</t>
  </si>
  <si>
    <t>DN (ř. 8-11)</t>
  </si>
  <si>
    <t>19</t>
  </si>
  <si>
    <t>20</t>
  </si>
  <si>
    <t>HZS</t>
  </si>
  <si>
    <t>21</t>
  </si>
  <si>
    <t>Kompl. činnost</t>
  </si>
  <si>
    <t>22</t>
  </si>
  <si>
    <t>Ostatní náklady</t>
  </si>
  <si>
    <t>D</t>
  </si>
  <si>
    <t>Celkové náklady</t>
  </si>
  <si>
    <t>23</t>
  </si>
  <si>
    <t>Součet 7, 12, 19-22</t>
  </si>
  <si>
    <t>Datum a podpis</t>
  </si>
  <si>
    <t>Razítko</t>
  </si>
  <si>
    <t>24</t>
  </si>
  <si>
    <t>DPH</t>
  </si>
  <si>
    <t>% z</t>
  </si>
  <si>
    <t>25</t>
  </si>
  <si>
    <t>26</t>
  </si>
  <si>
    <t>Cena s DPH (ř. 23-25)</t>
  </si>
  <si>
    <t>E</t>
  </si>
  <si>
    <t>Přípočty a odpočty</t>
  </si>
  <si>
    <t>27</t>
  </si>
  <si>
    <t>Dodávky objednatele</t>
  </si>
  <si>
    <t>28</t>
  </si>
  <si>
    <t>Klouzavá doložka</t>
  </si>
  <si>
    <t>29</t>
  </si>
  <si>
    <t>Zvýhodnění + -</t>
  </si>
  <si>
    <t>m2</t>
  </si>
  <si>
    <t>ks</t>
  </si>
  <si>
    <t xml:space="preserve">                                          </t>
  </si>
  <si>
    <t xml:space="preserve">ks </t>
  </si>
  <si>
    <t>t</t>
  </si>
  <si>
    <t xml:space="preserve">Objekt:           </t>
  </si>
  <si>
    <t xml:space="preserve">bm </t>
  </si>
  <si>
    <t>%</t>
  </si>
  <si>
    <t>1.NP</t>
  </si>
  <si>
    <t>2.NP</t>
  </si>
  <si>
    <t>m3</t>
  </si>
  <si>
    <t>bourací práce</t>
  </si>
  <si>
    <t xml:space="preserve">demontáž oplechování horních zdí a nadezdívek do suti </t>
  </si>
  <si>
    <t xml:space="preserve">demontáž lemování zdí do suti </t>
  </si>
  <si>
    <t xml:space="preserve">kus </t>
  </si>
  <si>
    <t>R</t>
  </si>
  <si>
    <t>m</t>
  </si>
  <si>
    <t xml:space="preserve"> </t>
  </si>
  <si>
    <t xml:space="preserve">m </t>
  </si>
  <si>
    <t xml:space="preserve">odvoz suti a vybouraných hmot na skládku do 1 km se složením </t>
  </si>
  <si>
    <t xml:space="preserve">příplatek k odvozu suti a vybouraných hmot na skládku ZKD 1 km přes 1 km </t>
  </si>
  <si>
    <t xml:space="preserve">poplatek za uložení na skládce stavebního odpadu </t>
  </si>
  <si>
    <t xml:space="preserve">MAT </t>
  </si>
  <si>
    <t xml:space="preserve">montáž plast oken pl přes 1m2 otevíravých výška do 2,5 m s rámem do zdiva </t>
  </si>
  <si>
    <t>truhlářské konstrukce</t>
  </si>
  <si>
    <t>MAT</t>
  </si>
  <si>
    <t xml:space="preserve">montáž dřevěných okenic </t>
  </si>
  <si>
    <t xml:space="preserve">dvoukřídlá okenice - kování, aretace </t>
  </si>
  <si>
    <t xml:space="preserve">přesun hmot procentní pro konstrukce truhlářské výška objektu do 12 m </t>
  </si>
  <si>
    <t xml:space="preserve">úprava povrchů vnitřních </t>
  </si>
  <si>
    <t xml:space="preserve">vápenocementová omítka hladká ostění nebo nadpraží </t>
  </si>
  <si>
    <t xml:space="preserve">úprava povrchů vnějších </t>
  </si>
  <si>
    <t xml:space="preserve">očištění vnějších ploch tryskáním křemičitým pískem nesušeným - kamenný sokl </t>
  </si>
  <si>
    <t xml:space="preserve">očištění vnějších ploch tlakovou vodou - omítka </t>
  </si>
  <si>
    <t xml:space="preserve">cementová omítka hladká jednovrstvá nanášená ručně - renovační stěrka </t>
  </si>
  <si>
    <t xml:space="preserve">ostění 1.NP </t>
  </si>
  <si>
    <t xml:space="preserve">ostění 2.NP </t>
  </si>
  <si>
    <t xml:space="preserve">zakrytí výplní otvorů a svislých ploch fólií přilepenou lepící páskou </t>
  </si>
  <si>
    <t xml:space="preserve">příplatek k ochranné síti za první a ZKD den použití </t>
  </si>
  <si>
    <t xml:space="preserve">demontáž ochranné sítě z textilie z umělých vláken </t>
  </si>
  <si>
    <t xml:space="preserve">montáž ochranné sítě z textilie z umělých vláken </t>
  </si>
  <si>
    <t xml:space="preserve">přesun hmot </t>
  </si>
  <si>
    <t xml:space="preserve">K001 </t>
  </si>
  <si>
    <t xml:space="preserve">zpětná motnáž cedulí na fasádu </t>
  </si>
  <si>
    <t xml:space="preserve">lešení </t>
  </si>
  <si>
    <t xml:space="preserve">klempířské konstrukce </t>
  </si>
  <si>
    <t xml:space="preserve">zámečnické konstrukce </t>
  </si>
  <si>
    <t xml:space="preserve">montáž mříží pevných přivařených </t>
  </si>
  <si>
    <t xml:space="preserve">zpětná montáž hromosvodu včetně revize </t>
  </si>
  <si>
    <t xml:space="preserve">osazování ventilačních mřížek velikosti do 150 x 200 mm </t>
  </si>
  <si>
    <t xml:space="preserve">ventilační mřížka pr 100 mm </t>
  </si>
  <si>
    <t>tesařské konstrukce</t>
  </si>
  <si>
    <t xml:space="preserve">řezivo </t>
  </si>
  <si>
    <t xml:space="preserve">m3 </t>
  </si>
  <si>
    <t xml:space="preserve">% </t>
  </si>
  <si>
    <t xml:space="preserve">přesun hmot procentní pro zámečnické konstrukce v obj přes 6 m do 12 m </t>
  </si>
  <si>
    <t xml:space="preserve">vedleší rozpočtové náklady </t>
  </si>
  <si>
    <t xml:space="preserve">VRN 1 </t>
  </si>
  <si>
    <t xml:space="preserve">zařízení staveniště </t>
  </si>
  <si>
    <t xml:space="preserve">VRN 2 </t>
  </si>
  <si>
    <t xml:space="preserve">provozní vlivy </t>
  </si>
  <si>
    <t xml:space="preserve">VRN 3 </t>
  </si>
  <si>
    <t>mimostaveništní doprava</t>
  </si>
  <si>
    <t xml:space="preserve">VRN </t>
  </si>
  <si>
    <t xml:space="preserve">Krajská zdravotní, a.s., Sociální péče 3316/12A, Ústí nad Labem </t>
  </si>
  <si>
    <t xml:space="preserve">Objednatel:   Krajská zdravotní, a.s. </t>
  </si>
  <si>
    <t>vyplnění a omítnutí rýh při elektroinstalacích ve stěnách hl přes 3 do 5 cm, š do 7</t>
  </si>
  <si>
    <t xml:space="preserve">Stavba:          Oprava fasády a výměna střešní krytiny objektu "P" Nemocnice Děčín </t>
  </si>
  <si>
    <t xml:space="preserve">Oprava fasády a výměna střešní krytiny objektu "P" Nemocnice Děčín </t>
  </si>
  <si>
    <t xml:space="preserve">Stavba:        Oprava fasády a výměna střešní krytiny objektu "P" Nemocnice Děčín </t>
  </si>
  <si>
    <t xml:space="preserve">Stavba:           Oprava fasády a výměna střešní krytiny objektu "P" Nemocnice Děčín </t>
  </si>
  <si>
    <t xml:space="preserve">okno </t>
  </si>
  <si>
    <t>okno</t>
  </si>
  <si>
    <t>dveře</t>
  </si>
  <si>
    <t>bok vikýře 2</t>
  </si>
  <si>
    <t xml:space="preserve">rozšíření </t>
  </si>
  <si>
    <t xml:space="preserve">arkýř </t>
  </si>
  <si>
    <t xml:space="preserve">horní hrana soklu </t>
  </si>
  <si>
    <t xml:space="preserve">bourání pilířů z betonu prostého </t>
  </si>
  <si>
    <t xml:space="preserve">0,13*0,18*0,63*20  - pilířky balkónu 1 </t>
  </si>
  <si>
    <t xml:space="preserve">bourání zdiva nadzákladového z betonu prostého do 1 m3 </t>
  </si>
  <si>
    <t xml:space="preserve">0,40*0,63*0,20*2  - zídky  balkónu 1 </t>
  </si>
  <si>
    <t xml:space="preserve">6,75*0,30*0,13  - hlava zábradlí </t>
  </si>
  <si>
    <t>vybourání plastových rámů oken včetně křídel pl  přes 2 m2</t>
  </si>
  <si>
    <t>1,48*1,64</t>
  </si>
  <si>
    <t xml:space="preserve">bourání podkladů pod dlažby nebo mazaniny bet tl přes 100 mm pl přes 4 m2 </t>
  </si>
  <si>
    <t>5*0,15  - podlaha balkónu 2</t>
  </si>
  <si>
    <t xml:space="preserve">6*0,20  - podlaha balkónu 1 </t>
  </si>
  <si>
    <t xml:space="preserve">bourání podkladů pod dlažby nebo mazaniny bet tl do 100 mm pl do 4 m2 </t>
  </si>
  <si>
    <t xml:space="preserve">demontáž zábradlí rovného rozebíratelného hm 1 m do 20 kg k dalšímu použití </t>
  </si>
  <si>
    <t>2,66+2,18</t>
  </si>
  <si>
    <t xml:space="preserve">2,66+2,18  - balkón 2 </t>
  </si>
  <si>
    <t xml:space="preserve">4,40  - balkon 3 </t>
  </si>
  <si>
    <t xml:space="preserve">3,5 - madlo u venkovních schodů </t>
  </si>
  <si>
    <t>demontáž madel rovných k dalšímu použití</t>
  </si>
  <si>
    <t xml:space="preserve">demontáž oplechování parapatů do suti </t>
  </si>
  <si>
    <t xml:space="preserve">1,30*4+1,30*4  - jižní pohled </t>
  </si>
  <si>
    <t xml:space="preserve">0,60+0,60 - východní pohled </t>
  </si>
  <si>
    <t xml:space="preserve">1,3+1,1+1,1+0,85+0,5+2,10  - severní pohled </t>
  </si>
  <si>
    <t xml:space="preserve">1,30  - západní pohled </t>
  </si>
  <si>
    <t xml:space="preserve">2,66+2,18  - balkon 2 </t>
  </si>
  <si>
    <t xml:space="preserve">demontáž oplechování říms do suti </t>
  </si>
  <si>
    <t>5,85+0,45+7,18  -severní pohled sokl</t>
  </si>
  <si>
    <t xml:space="preserve">5,87+3,94  - západní pohled - sokl </t>
  </si>
  <si>
    <t xml:space="preserve">11,05  - jižní pohled - sokl </t>
  </si>
  <si>
    <t xml:space="preserve">0,5+3,0+3,0+5,80  - východní pohled sokl </t>
  </si>
  <si>
    <t xml:space="preserve">1,40*3 - jižní pohled - římsa mezi okny </t>
  </si>
  <si>
    <t>4,40 - severní pohled balkon 3</t>
  </si>
  <si>
    <t xml:space="preserve">1,15+0,25*2+1,05+1,25+2,70+2,70+0,40+0,40  - balkon 1 </t>
  </si>
  <si>
    <t xml:space="preserve">2,36+1,90+2,36+1,90 - balkon 2 </t>
  </si>
  <si>
    <t xml:space="preserve">2,80 - balkon 3 </t>
  </si>
  <si>
    <t xml:space="preserve">5,25+3,0+3,0  - vikýř východ </t>
  </si>
  <si>
    <t xml:space="preserve">3,20*2+2,75 - vikýř sever </t>
  </si>
  <si>
    <t xml:space="preserve">5,50 - vikýř jih </t>
  </si>
  <si>
    <t xml:space="preserve">demontáž lemování střešních prostupů </t>
  </si>
  <si>
    <t xml:space="preserve">komíny </t>
  </si>
  <si>
    <t xml:space="preserve">demontáž lemování trub, konzol, držáků do suti </t>
  </si>
  <si>
    <t xml:space="preserve">demontáž nástřešního žlabu do suti </t>
  </si>
  <si>
    <t xml:space="preserve">11,55+10,80+5,90+0,55+7,80+6,35+2,30+5,1 - hlavní střecha </t>
  </si>
  <si>
    <t xml:space="preserve">3,0+2,30+2,30 - vikýř 2 </t>
  </si>
  <si>
    <t xml:space="preserve">2,50+2,50+6,0 - vikýř 1 </t>
  </si>
  <si>
    <t xml:space="preserve">demontáž háků do suti </t>
  </si>
  <si>
    <t>24+22+12+2+16+13+5+11+6+5+5+5+5+12</t>
  </si>
  <si>
    <t xml:space="preserve">demontáž svodů do suti </t>
  </si>
  <si>
    <t>9,4+10+0,3+0,25+4,90+9,5+10,3+5,2</t>
  </si>
  <si>
    <t xml:space="preserve">demontáž podkladního plechu do suti </t>
  </si>
  <si>
    <t xml:space="preserve">demontáž úžlabí do suti </t>
  </si>
  <si>
    <t xml:space="preserve">4,8*2 - vikýř 3 </t>
  </si>
  <si>
    <t xml:space="preserve">2,5*2 - vikýř 2 </t>
  </si>
  <si>
    <t>5,0+4,8</t>
  </si>
  <si>
    <t xml:space="preserve">demontáž závětrné lišty do suti </t>
  </si>
  <si>
    <t xml:space="preserve">1,2*2 - malý vikýř  chodba </t>
  </si>
  <si>
    <t xml:space="preserve">demontáž střešního výlezu do suti </t>
  </si>
  <si>
    <t xml:space="preserve">demontáž střešní krytiny </t>
  </si>
  <si>
    <t>40+31+8,5+13,5+20+0,65+0,65+1+32,5+3,0+4,5+4,5+4,6+12+4,5</t>
  </si>
  <si>
    <t xml:space="preserve">demontáž mříží pevných </t>
  </si>
  <si>
    <t>0,5*0,76*2+0,5*0,77*2+0,5*0,76+0,86*0,9+0,86*0,9+0,86*1,28*2+1,39*1,04</t>
  </si>
  <si>
    <t xml:space="preserve">otlučení vnější vápenné nebo vápenocementové omítky 1 a 2 v rozsahu 40 - 50% </t>
  </si>
  <si>
    <t xml:space="preserve">3,0 - podhled balkon 3 </t>
  </si>
  <si>
    <t xml:space="preserve">5,0 - podhled balkon 2 </t>
  </si>
  <si>
    <t xml:space="preserve">0,2*(1,05*8+1,73*8+2,6*4+1,75*4+0,5*2+0,8*2+1,05*6+1,73*6+1,94*2+1,73*2+1,04*4+0,53*4) </t>
  </si>
  <si>
    <t>0,25*(1,24+2,48*2)</t>
  </si>
  <si>
    <t>0,15*(1,05*8+1,73*8+0,92+2,45*2+0,5*2+0,8*2+0,84*4+1,51*4+0,85*2+1,51*2+1,05+2,59*2)</t>
  </si>
  <si>
    <t>0,15*(1,48*2+1,64*2+1,48*2+1,64*2+1,52+2,34*2+1,36+2,64*2)</t>
  </si>
  <si>
    <t>0,15*(1,02+2,5*2)</t>
  </si>
  <si>
    <t>0,08*(1,05+2,53*2)</t>
  </si>
  <si>
    <t>0,15*(0,88*4+1,23*4+0,88*2+1,23*2)</t>
  </si>
  <si>
    <t xml:space="preserve">ostění 3.NP </t>
  </si>
  <si>
    <t xml:space="preserve">demontáž drátu lana nebo svodného vedení </t>
  </si>
  <si>
    <t xml:space="preserve">vysekání rýh ve zdivu cihelném hl do 50 mm  š do 70 mm - odhad </t>
  </si>
  <si>
    <t xml:space="preserve">demontáž atypických zámečnických konstrukcí rozebráním do 50 kg </t>
  </si>
  <si>
    <t>kg</t>
  </si>
  <si>
    <t xml:space="preserve">(6*4+6,4+1+6+2+2+1+2+6+5+1)*0,1 - odstranění kovových prvků na fasádě </t>
  </si>
  <si>
    <t xml:space="preserve">demontáž poštovní schránky zavěšené - zpětná monáž </t>
  </si>
  <si>
    <t xml:space="preserve">vnitrostaveništní doprava suti a vybouraných hmot pro budovy v přes 9 do 12 m </t>
  </si>
  <si>
    <t>sanace</t>
  </si>
  <si>
    <t>3*10+4*1</t>
  </si>
  <si>
    <t xml:space="preserve">přídavná šroubovitá nerezová výztuž 1 táhlo D 4,5 mm v drážce v cihelném zdivu hl do 70 mm </t>
  </si>
  <si>
    <t xml:space="preserve">přídavná šroubovitá nerezová výztuž 1 táhlo D 6 mm v drážce v cihelném zdivu hl do 70 mm </t>
  </si>
  <si>
    <t>5*1+6*1</t>
  </si>
  <si>
    <t xml:space="preserve">svislé konstrukce </t>
  </si>
  <si>
    <t xml:space="preserve">zazdívka otvorů pl přes 0,25 do 1 m2 ve zdivu nadzáklad cihlami pál na MVC </t>
  </si>
  <si>
    <t>0,5*0,8*0,45</t>
  </si>
  <si>
    <t xml:space="preserve">zazděné okno v 1.NP </t>
  </si>
  <si>
    <t xml:space="preserve">vápenocementová štuková omítka ostění nebo nadpraží </t>
  </si>
  <si>
    <t xml:space="preserve">vápenocementová štuková omítka malých ploch přes 0,25 do 1 m2 na stěnách </t>
  </si>
  <si>
    <t>severní pohled</t>
  </si>
  <si>
    <t>(0,5*0,77*-2+0,5*0,76*-2)</t>
  </si>
  <si>
    <t xml:space="preserve">západní pohled </t>
  </si>
  <si>
    <t>0,5*0,76*-1+1*1,9*-1</t>
  </si>
  <si>
    <t xml:space="preserve">jižní pohled </t>
  </si>
  <si>
    <t>0,86*0,9*-2+0,86*1,28*-2</t>
  </si>
  <si>
    <t xml:space="preserve">východní pohled </t>
  </si>
  <si>
    <t>4*1,29*-1+0,51*0,8*-1</t>
  </si>
  <si>
    <t>7,2*0,61*1</t>
  </si>
  <si>
    <t>1,39*0,61*-1</t>
  </si>
  <si>
    <t xml:space="preserve">ostění </t>
  </si>
  <si>
    <t>0,15*(1,48*2+1,64*2)  - výměna okna v kartotéce</t>
  </si>
  <si>
    <t xml:space="preserve">vikýř 2 čelo </t>
  </si>
  <si>
    <t>hlavní fasáda</t>
  </si>
  <si>
    <t>2,71*2,30*1</t>
  </si>
  <si>
    <t>13,03*7*1</t>
  </si>
  <si>
    <t xml:space="preserve">vikýř 1 bok </t>
  </si>
  <si>
    <t>2,2*2,30*0,5</t>
  </si>
  <si>
    <t xml:space="preserve">římsa hlavní </t>
  </si>
  <si>
    <t>13,03*0,40</t>
  </si>
  <si>
    <t>římsa vikýř 2</t>
  </si>
  <si>
    <t>2,71*0,30</t>
  </si>
  <si>
    <t>římsa vikýř 1</t>
  </si>
  <si>
    <t>2,20*0,30</t>
  </si>
  <si>
    <t xml:space="preserve">dveře balkon </t>
  </si>
  <si>
    <t xml:space="preserve">okno balkon </t>
  </si>
  <si>
    <t>1,94*1,73*-1</t>
  </si>
  <si>
    <t>1,05*1,73*-1</t>
  </si>
  <si>
    <t>1,05*2,59*-1</t>
  </si>
  <si>
    <t>0,85*1,51*-1</t>
  </si>
  <si>
    <t>okno kancel.</t>
  </si>
  <si>
    <t>0,84*1,51*-2</t>
  </si>
  <si>
    <t>okno vikýř 2</t>
  </si>
  <si>
    <t>0,88*1,23*-1</t>
  </si>
  <si>
    <t>5,67*7*1</t>
  </si>
  <si>
    <t>4,92*7*1</t>
  </si>
  <si>
    <t>2,2*2,3*0,5</t>
  </si>
  <si>
    <t>1,04*0,53*-2</t>
  </si>
  <si>
    <t>1,48*1,64*-2</t>
  </si>
  <si>
    <t>1,05*2,22*-1</t>
  </si>
  <si>
    <t>5,67*0,40</t>
  </si>
  <si>
    <t>4,92*0,40</t>
  </si>
  <si>
    <t>2,2*0,30</t>
  </si>
  <si>
    <t>1,05*1,73*-8</t>
  </si>
  <si>
    <t>1,24*2,8*-1</t>
  </si>
  <si>
    <t>1,52*2,34*-1</t>
  </si>
  <si>
    <t xml:space="preserve">zeď pod balkonem </t>
  </si>
  <si>
    <t>10,14*7*1</t>
  </si>
  <si>
    <t>0,45*7*1</t>
  </si>
  <si>
    <t>čelo vikýře 1</t>
  </si>
  <si>
    <t>5,24*2,3*1</t>
  </si>
  <si>
    <t>10,14*0,4</t>
  </si>
  <si>
    <t>5,24*0,3</t>
  </si>
  <si>
    <t>2,2*0,3</t>
  </si>
  <si>
    <t xml:space="preserve">odpočet arkýře </t>
  </si>
  <si>
    <t>4*3*-1</t>
  </si>
  <si>
    <t>7,2*4,3*1</t>
  </si>
  <si>
    <t xml:space="preserve">boky arkýře </t>
  </si>
  <si>
    <t>0,4*4,3*2</t>
  </si>
  <si>
    <t>okno vikýř 1</t>
  </si>
  <si>
    <t>0,85*2,32*-1</t>
  </si>
  <si>
    <t>0,5*0,8*-2</t>
  </si>
  <si>
    <t>0,88*1,23*-2</t>
  </si>
  <si>
    <t>okno arkýř</t>
  </si>
  <si>
    <t>2,6*1,75*-2</t>
  </si>
  <si>
    <t xml:space="preserve">římsa </t>
  </si>
  <si>
    <t>0,3*(0,4+7,2+0,4)</t>
  </si>
  <si>
    <t xml:space="preserve">7,2+0,4+0,4 - východní pohled balkón </t>
  </si>
  <si>
    <t xml:space="preserve">357,313 - celková plocha fasády bez kamenného soklu </t>
  </si>
  <si>
    <t xml:space="preserve">vyrovnání nerovného povrchu zdiva - úprava ostění oken a dveří </t>
  </si>
  <si>
    <t>J</t>
  </si>
  <si>
    <t>V</t>
  </si>
  <si>
    <t>S</t>
  </si>
  <si>
    <t>Z</t>
  </si>
  <si>
    <t xml:space="preserve">cementový postřik nanášený celoplošně ručně - 50 % </t>
  </si>
  <si>
    <t>a</t>
  </si>
  <si>
    <t>b</t>
  </si>
  <si>
    <t xml:space="preserve">vápenocementová jádrová omítka hladká vnějších stěn </t>
  </si>
  <si>
    <t xml:space="preserve">montáž omítkových plastových profilů </t>
  </si>
  <si>
    <t>1,05*7+2,6*2+0,5*1+1,94*1+1,04*2+1,24*1+1,73*2*8+1,75*2*2+0,8*2*1+0,53*2*2+2,48*2</t>
  </si>
  <si>
    <t>1,05*6+1,02*1+0,92*1+0,5*1+0,84*2+0,85*1+1,48*2+1,52*1+1,36*1</t>
  </si>
  <si>
    <t>1,73*2*4+2,45*0*1+2,5*2*1+2,53*2*1+0,8*2*1+1,51*2*3+2,59*2*1+1,64*2*2+2,34*2*1+2,64*2*1</t>
  </si>
  <si>
    <t>0,88*3+1,23*2*3</t>
  </si>
  <si>
    <t xml:space="preserve">omítkový plastový profil </t>
  </si>
  <si>
    <t>145,06*1,05</t>
  </si>
  <si>
    <t>396,111/2</t>
  </si>
  <si>
    <t>0,20*(1,05+1,73*2)*8+1,52+2,34*2+2,6*1,75*2</t>
  </si>
  <si>
    <t>0,20*(0,5+0,8*2+1,05+1,73*2+0,5*0,8*2+1,02*2,5*2+1,05+2,53*2)</t>
  </si>
  <si>
    <t>0,20*(0,88+1,23*2+0,88+1,23*2)</t>
  </si>
  <si>
    <t>0,20*(1,94+1,73*2+1,05*1,73*2+0,84+1,51*2+0,84+1,51*2+0,85+1,51*2)</t>
  </si>
  <si>
    <t>0,20*(1,05*2,59*2+0,88+1,23*2)</t>
  </si>
  <si>
    <t>0,20*(1,04+0,53*2+1,04+0,53*2+1,05+1,73*2+1,48+1,64*2+1,48+1,64*2+1,36+2,64*2)</t>
  </si>
  <si>
    <t xml:space="preserve">b, c </t>
  </si>
  <si>
    <t xml:space="preserve"> 1.PP </t>
  </si>
  <si>
    <t>0,5*0,77*2+0,5*0,76*3+1*1,9+0,86*0,9*2+0,86*1,28*2+1,39*1,04+0,51*0,8</t>
  </si>
  <si>
    <t>1,05*1,73*7+2,6*1,75*2+0,5*0,8+1,94*1,73+1,04*0,53*2+1,24*2,48</t>
  </si>
  <si>
    <t>1,05*1,73*4+0,85*2,32+0,5*0,8+0,84*1,51*2+0,85*1,51+1,05*2,59+1,48*1,64*2+1,52*2,34+1,36*2,64</t>
  </si>
  <si>
    <t xml:space="preserve">vyrovnávací vrstva pod klempířské prvky z MC š přes 150 do 300 mm   </t>
  </si>
  <si>
    <t>0,5*5+0,51</t>
  </si>
  <si>
    <t>1,05*7+1,04*2+2,6*2+0,5*1+1,94</t>
  </si>
  <si>
    <t>1,05*4+0,5*1+0,84*2+0,85*1+1,48*2</t>
  </si>
  <si>
    <t xml:space="preserve">penetrační nátěr stěn </t>
  </si>
  <si>
    <t>396,111+38,43</t>
  </si>
  <si>
    <t xml:space="preserve">penetrační nátěr podhledů </t>
  </si>
  <si>
    <t>3+5</t>
  </si>
  <si>
    <t xml:space="preserve">příplatek k úpravám vnějších povrchů za provádění prací v nadstřešní části </t>
  </si>
  <si>
    <t xml:space="preserve">příplatek za provádění omítaných ploch do 10 m2 </t>
  </si>
  <si>
    <t xml:space="preserve">potažení vnějších stěn sklovláknitým pletivem </t>
  </si>
  <si>
    <t xml:space="preserve">tenkovrstvá silikonová omítka zrnitá vnějších podhledů </t>
  </si>
  <si>
    <t xml:space="preserve">tenkovrstvá silikonová omítka zrnitá vnějších stěn </t>
  </si>
  <si>
    <t xml:space="preserve">montáž lešení řadového trubkového lehkého s podlahami v přes 10 do 25 m </t>
  </si>
  <si>
    <t xml:space="preserve">příplatek k lešení řadovému trubkovému lehkému s podlahami v přes 10 do 25 m </t>
  </si>
  <si>
    <t xml:space="preserve">demontáž lešení řadového trubkového s podlahami v přes 10 do 25 m </t>
  </si>
  <si>
    <t>16,5*15</t>
  </si>
  <si>
    <t>12*15</t>
  </si>
  <si>
    <t xml:space="preserve">přesun hmot pro budovy zděné v přes 12 do 24 m </t>
  </si>
  <si>
    <t xml:space="preserve">demontáž bednění střech z prken </t>
  </si>
  <si>
    <t>24,727*11</t>
  </si>
  <si>
    <t xml:space="preserve">montáž bednění střech rovných a šikmých sklonu do 60° z hrubých prken </t>
  </si>
  <si>
    <t>180,9*0,03*1,05</t>
  </si>
  <si>
    <t xml:space="preserve">montáž laťování na střechách jednod skl do 60° osové vzd přes 150 do 360 mm  </t>
  </si>
  <si>
    <t>řezivo jehličnaté lať impregnovaná dl 4 m</t>
  </si>
  <si>
    <t>180,9*1,20*0,03*0,05</t>
  </si>
  <si>
    <t xml:space="preserve">přesun hmot procentní pro kce tesařské v obj přes 12 do 24 m </t>
  </si>
  <si>
    <t xml:space="preserve">montáž kotralatí na podklad bez tepelné izolace </t>
  </si>
  <si>
    <t>180*1,20*0,04*0,06</t>
  </si>
  <si>
    <t xml:space="preserve">spojovací prostředky krovů, bednění, laťování </t>
  </si>
  <si>
    <t xml:space="preserve">podkladní plech z Al plechu rš 250 mm </t>
  </si>
  <si>
    <t xml:space="preserve">oplechování úžlabí z Al plechu rš 670 mm </t>
  </si>
  <si>
    <t>5,0+4,8+2,5+2,5+4,8+4,+1,6+1,6</t>
  </si>
  <si>
    <t>oplechování štítu závětrnou lištou z Al plechu rš 200 mm</t>
  </si>
  <si>
    <t>1,2+1,2</t>
  </si>
  <si>
    <t xml:space="preserve">oplechování rovné okapové hrany z Al plechu rš 250 mm </t>
  </si>
  <si>
    <t>11,75+11,40+5,85+0,45+8,1+6,5+2,15+5,2+2,7+2,7+6,0+2,55+3,20+2,55</t>
  </si>
  <si>
    <t>11,75+11,40+5,85+0,45+8,10+6,5+2,15+5,20+2,70+2,70+6,0+2,56+3,20+2,55</t>
  </si>
  <si>
    <t xml:space="preserve">střešní výlez pro krytinu skládanou </t>
  </si>
  <si>
    <t xml:space="preserve">oplechování horních ploch a nadezdívek bez rohů z Al plechu rš 400 mm </t>
  </si>
  <si>
    <t xml:space="preserve">příplatek za zvýšenou pracnost při oplech rohů, nadezdívek z Al plechu rš do 400 </t>
  </si>
  <si>
    <t xml:space="preserve">oplechování parapetu rovných mechanické kot z Al plechu rš 250 mm </t>
  </si>
  <si>
    <t>1,3*11</t>
  </si>
  <si>
    <t>3/k</t>
  </si>
  <si>
    <t>4/k</t>
  </si>
  <si>
    <t>2,10*1</t>
  </si>
  <si>
    <t>5/k</t>
  </si>
  <si>
    <t>1,05*2</t>
  </si>
  <si>
    <t>6/k</t>
  </si>
  <si>
    <t>7/k</t>
  </si>
  <si>
    <t>2,6*2</t>
  </si>
  <si>
    <t>8/k</t>
  </si>
  <si>
    <t>0,6*1</t>
  </si>
  <si>
    <t>9/k</t>
  </si>
  <si>
    <t>1,2*3</t>
  </si>
  <si>
    <t xml:space="preserve">příplatek za zvýšenou pracnost oplech rohů parap rovných z Al plechu rš do 400 </t>
  </si>
  <si>
    <t>11+1+2</t>
  </si>
  <si>
    <t xml:space="preserve">oplechování římsy rovné mechanicky kotvené z Al plechu rš 330 mm </t>
  </si>
  <si>
    <t>11,05+0,5+5,79+5,95+0,45+7,4+3,94+5,87</t>
  </si>
  <si>
    <t xml:space="preserve">příplatek k cenám rovné ř. z Al plechu za zvýš prac provedení rohu rš do 400  </t>
  </si>
  <si>
    <t xml:space="preserve">oplech římsy oblé mechan kotv z Al plechu rš 330 mm </t>
  </si>
  <si>
    <t>7,2+0,4+0,4</t>
  </si>
  <si>
    <t xml:space="preserve">spodní lemování rovných zdí střech s krytinou skládanou z Al plechu rš 400 mm </t>
  </si>
  <si>
    <t xml:space="preserve">lemování prostupů střech s krytinou skládanou z Al plechu </t>
  </si>
  <si>
    <t xml:space="preserve">lemování trub, konzol z Al plechu střech s krytinou skládanou </t>
  </si>
  <si>
    <t xml:space="preserve">žlab nástřešní oblého tvaru vč háků, čel a hrdel z Al plechu rš 670 mm </t>
  </si>
  <si>
    <t>11,75+11,04+5,85+0,5+8,1+6,5+2,15+5,2+2,35+2,35+3,2+2,7+2,7+6,0</t>
  </si>
  <si>
    <t>(5,24+2,71)*-1</t>
  </si>
  <si>
    <t xml:space="preserve">žlab nástřešní oblého tvaru vč háků, čel a hrdel z Al plechu rš 800 mm </t>
  </si>
  <si>
    <t xml:space="preserve">příplatek k cenám nadokapního žlabu za provedení rohu nebo koutu rš 670 mm </t>
  </si>
  <si>
    <t>8+4</t>
  </si>
  <si>
    <t xml:space="preserve">svody kruhové vč objímek, kolen, odskoků z Al plechu pr 100 mm </t>
  </si>
  <si>
    <t>0,5+0,5+0,3+0,2+8,9</t>
  </si>
  <si>
    <t>0,5+0,5+0,3+0,2+9,7</t>
  </si>
  <si>
    <t>0,5+0,5+0,3+0,2+8,7</t>
  </si>
  <si>
    <t>0,5+0,5+0,3+0,2+9,4</t>
  </si>
  <si>
    <t xml:space="preserve">svody kruhové vč objímek, kolen, odskoků z Al plechu pr 80 mm </t>
  </si>
  <si>
    <t>5,20+4,50</t>
  </si>
  <si>
    <t>přesun hmot procentní pro konstrukce klempířské v objektech v přes 12 m</t>
  </si>
  <si>
    <t>1,49*1,64</t>
  </si>
  <si>
    <t xml:space="preserve">okno plastové, 6 - dílný prvek, 1490 x 1640 mm, sklo U = 1,1, barva bílá </t>
  </si>
  <si>
    <t>860/900 mm</t>
  </si>
  <si>
    <t>860/1280 mm</t>
  </si>
  <si>
    <t>1390/1040 mm</t>
  </si>
  <si>
    <t>500/760 mm</t>
  </si>
  <si>
    <t>4,4*1,1</t>
  </si>
  <si>
    <t>2,66*1,1+2,18*1,1</t>
  </si>
  <si>
    <t xml:space="preserve">zábradlí, stejné provedení jako na ostatních balkonech, kotvené do parapetu </t>
  </si>
  <si>
    <t>7,2*1,1</t>
  </si>
  <si>
    <t xml:space="preserve">oprava stávajícího balkónového zábradlí, očištění, odrezivění, nátěr, zpětná mont </t>
  </si>
  <si>
    <t xml:space="preserve">ostatní konstrukce </t>
  </si>
  <si>
    <t xml:space="preserve">pokrývačské práce </t>
  </si>
  <si>
    <t xml:space="preserve">krytina vláknocementová sklonu do 30°skládaná ze šablon s povrchem hladkým </t>
  </si>
  <si>
    <t xml:space="preserve">okapová hrana vláknocementové krytiny jednoduché krytí ze šablon </t>
  </si>
  <si>
    <t xml:space="preserve">nároží vláknocementové krytiny jednoduché ze šablon s povrchem hladkým </t>
  </si>
  <si>
    <t>5,25+5,25+5+5+4,35+4,35+9,3+4,6+5,1+2,5+2,5</t>
  </si>
  <si>
    <t xml:space="preserve">hřeben vláknocementové krytiny z hřebenáčů s větracím pásem </t>
  </si>
  <si>
    <t>1,91+2,10+2,95+1,1</t>
  </si>
  <si>
    <t xml:space="preserve">úžlabí vláknocementové krytiny zasekáním šablon podél oplechování </t>
  </si>
  <si>
    <t>5,10+4,8+2,5+2,5+1,6+1,6+4,7+4,8</t>
  </si>
  <si>
    <t xml:space="preserve">příplatek k cenám vláknocementové krytiny ze šablon na laťování </t>
  </si>
  <si>
    <t xml:space="preserve">příplatek k montáži skládané vláknocementové krytiny za sklon přes 30° </t>
  </si>
  <si>
    <t xml:space="preserve">přesun hmot procentní pro krytiny skládané v objektech v přes 12 do 24 </t>
  </si>
  <si>
    <t xml:space="preserve">osazování výplní otvorů </t>
  </si>
  <si>
    <t>osazování parapetních desek ze ŽB š přes 200 do 400 mm na MC</t>
  </si>
  <si>
    <t xml:space="preserve">betonový parapet, tl betonu 3 cm, drážka okapničky, bílý cement </t>
  </si>
  <si>
    <t>0,5*5</t>
  </si>
  <si>
    <t>0,86*2</t>
  </si>
  <si>
    <t>1/m</t>
  </si>
  <si>
    <t>2/m</t>
  </si>
  <si>
    <t>3/m</t>
  </si>
  <si>
    <t>4/m</t>
  </si>
  <si>
    <t>1/k</t>
  </si>
  <si>
    <t>10/k</t>
  </si>
  <si>
    <t>3,5+3,5+2,8+2,8</t>
  </si>
  <si>
    <t xml:space="preserve">oplech římsy oblé mechan kotv z Al plechu rš do 400 mm </t>
  </si>
  <si>
    <t>montáž pojistné hydroizolační fólie kladené ve sklonu přes 20°</t>
  </si>
  <si>
    <t>příplatek k cenám montáž pojistné hydroizolační folie za sklon přes 30°</t>
  </si>
  <si>
    <t xml:space="preserve">podstřešní folie </t>
  </si>
  <si>
    <t xml:space="preserve">m2 </t>
  </si>
  <si>
    <t>180,9*1,2</t>
  </si>
  <si>
    <t xml:space="preserve">3*0,08 - podlaha balkonu 3 </t>
  </si>
  <si>
    <t>11/k</t>
  </si>
  <si>
    <t>12/k</t>
  </si>
  <si>
    <t>1,10*2</t>
  </si>
  <si>
    <t>0,85*1</t>
  </si>
  <si>
    <t>1,50*2</t>
  </si>
  <si>
    <t>0,5*2</t>
  </si>
  <si>
    <t>13/k</t>
  </si>
  <si>
    <t>14/k</t>
  </si>
  <si>
    <t xml:space="preserve">2/k, 15/k </t>
  </si>
  <si>
    <t xml:space="preserve">2,6*2 + 4,4 </t>
  </si>
  <si>
    <t xml:space="preserve">16/k </t>
  </si>
  <si>
    <t xml:space="preserve">17/k </t>
  </si>
  <si>
    <t>18/k</t>
  </si>
  <si>
    <t>19/k</t>
  </si>
  <si>
    <t>20/k</t>
  </si>
  <si>
    <t xml:space="preserve">21/k </t>
  </si>
  <si>
    <t>22/k</t>
  </si>
  <si>
    <t>24/k</t>
  </si>
  <si>
    <t>23/k</t>
  </si>
  <si>
    <t>25/k</t>
  </si>
  <si>
    <t>26/k</t>
  </si>
  <si>
    <t xml:space="preserve">zpětná montáž poštovní schránky </t>
  </si>
  <si>
    <t>27/k</t>
  </si>
  <si>
    <t xml:space="preserve">žlab podokapní půlkruhový rš 250 mm z Al plechu </t>
  </si>
  <si>
    <t xml:space="preserve">lemování zdí balkónů z Al plechu rš 200 mm </t>
  </si>
  <si>
    <t>28/k</t>
  </si>
  <si>
    <t>montáž dveřních křídel otvír jednokřídlových š přes 0,8 m do ocelové zárubně</t>
  </si>
  <si>
    <t xml:space="preserve">dveře vchodové, 900/1900 mm, hladké plné, barva hnědá </t>
  </si>
  <si>
    <t xml:space="preserve">potěr cementový ve spádu tl 45 do 50 mm </t>
  </si>
  <si>
    <t>6+5+3</t>
  </si>
  <si>
    <t>6+5</t>
  </si>
  <si>
    <t xml:space="preserve">balkony </t>
  </si>
  <si>
    <t xml:space="preserve">vyrovnání podkladu vnějších stěn maltou cementovou </t>
  </si>
  <si>
    <t>8*0,20+8*0,30+2,36*0,2+1,9*0,20+0,3*2,66+0,3*2,18 parapety balkonu</t>
  </si>
  <si>
    <t xml:space="preserve">balkon 1 </t>
  </si>
  <si>
    <t xml:space="preserve">balkon 2 </t>
  </si>
  <si>
    <t xml:space="preserve">balkon 3 </t>
  </si>
  <si>
    <t xml:space="preserve">0,3*8,0+6 </t>
  </si>
  <si>
    <t>0,3*(2,18+2,66)+5</t>
  </si>
  <si>
    <t>0,20*8+3,7*0,20</t>
  </si>
  <si>
    <t>0,20*(2,36*2+1,9*2)</t>
  </si>
  <si>
    <t>2,80*0,2</t>
  </si>
  <si>
    <t xml:space="preserve">očištění ploch podlah tlakovou vodou </t>
  </si>
  <si>
    <t>6+5*2+3*2</t>
  </si>
  <si>
    <t xml:space="preserve">ruční dočištění ploch podlah ocelovými kartáči </t>
  </si>
  <si>
    <t>příplatek k očištění ploch za plochu do 10 m2 jednotlivě</t>
  </si>
  <si>
    <t xml:space="preserve">spojovací můstek betonu na cement bázi </t>
  </si>
  <si>
    <t xml:space="preserve">příplatek k cenám spoj můstku za plochu do 10 m2 </t>
  </si>
  <si>
    <t xml:space="preserve">provedení izolace proti zemní vlhkosti hydroizolační stěrkou vodorovné, 2 vrstvy  </t>
  </si>
  <si>
    <t xml:space="preserve">provedení izolace proti zemní vlhkosti hydroizolační stěrkou svislé, 2 vrstvy </t>
  </si>
  <si>
    <t xml:space="preserve">hydroizolační stěrka </t>
  </si>
  <si>
    <t>22,456*3,4</t>
  </si>
  <si>
    <t xml:space="preserve">montáž podlah keramických hladkých lepených flexibilním lepidlem </t>
  </si>
  <si>
    <t xml:space="preserve">keramická dlažba </t>
  </si>
  <si>
    <t>11*1,08</t>
  </si>
  <si>
    <t>přípl k mont podlah keram lep cem flexibilním rychletuh lep za omezený prostor</t>
  </si>
  <si>
    <t xml:space="preserve">krycí epoxidová stěrka tl do 1 mm dekorativní </t>
  </si>
  <si>
    <t xml:space="preserve">vyvěšen dřevěných dveřních křídel dveří pl do 2 m2 </t>
  </si>
  <si>
    <t xml:space="preserve">zpětná montáž zábradlí rovného madla z trubek </t>
  </si>
  <si>
    <t xml:space="preserve">nátěr stávající zárubně vchodových dveří do 1.PP </t>
  </si>
  <si>
    <t xml:space="preserve">kpl </t>
  </si>
  <si>
    <t xml:space="preserve">dřevěné okenice 400/1750 mm, speciální exteriérová lazura, bez funkčního kování  </t>
  </si>
  <si>
    <t xml:space="preserve">dodávka mříží, nátěr </t>
  </si>
  <si>
    <t>k</t>
  </si>
  <si>
    <t xml:space="preserve">Datum:       </t>
  </si>
  <si>
    <t xml:space="preserve">Datum:      </t>
  </si>
  <si>
    <t xml:space="preserve">Zhotovitel:     </t>
  </si>
  <si>
    <t xml:space="preserve">Zhotovitel:   </t>
  </si>
  <si>
    <t xml:space="preserve">Datum: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</si>
</sst>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;\-#,##0.000"/>
    <numFmt numFmtId="165" formatCode="###0.000;\-###0.000"/>
    <numFmt numFmtId="166" formatCode="###0;\-###0"/>
    <numFmt numFmtId="167" formatCode="#,##0.00_ ;\-#,##0.00\ "/>
    <numFmt numFmtId="168" formatCode="0.00%;\-0.00%"/>
    <numFmt numFmtId="169" formatCode="#,##0.000_ ;\-#,##0.000\ "/>
    <numFmt numFmtId="170" formatCode="0.000"/>
    <numFmt numFmtId="171" formatCode="#,##0\ &quot;Kč&quot;"/>
  </numFmts>
  <fonts count="33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MS Sans Serif"/>
      <family val="2"/>
      <charset val="238"/>
    </font>
    <font>
      <b/>
      <u/>
      <sz val="8"/>
      <color indexed="10"/>
      <name val="Arial CE"/>
      <charset val="238"/>
    </font>
    <font>
      <sz val="7"/>
      <name val="Arial CE"/>
      <charset val="238"/>
    </font>
    <font>
      <b/>
      <sz val="14"/>
      <color indexed="10"/>
      <name val="Arial CE"/>
      <charset val="238"/>
    </font>
    <font>
      <b/>
      <sz val="14"/>
      <color indexed="10"/>
      <name val="Arial CE"/>
      <charset val="110"/>
    </font>
    <font>
      <sz val="7"/>
      <name val="Arial CE"/>
      <charset val="110"/>
    </font>
    <font>
      <sz val="10"/>
      <name val="Arial"/>
      <family val="2"/>
      <charset val="238"/>
    </font>
    <font>
      <b/>
      <sz val="18"/>
      <color indexed="10"/>
      <name val="Arial CE"/>
      <charset val="110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color rgb="FF0000F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u/>
      <sz val="11"/>
      <color indexed="1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8"/>
      <name val="Calibri"/>
      <family val="2"/>
      <charset val="238"/>
    </font>
    <font>
      <b/>
      <u/>
      <sz val="11"/>
      <color indexed="10"/>
      <name val="Calibri"/>
      <family val="2"/>
      <charset val="238"/>
    </font>
    <font>
      <sz val="11"/>
      <color rgb="FF646464"/>
      <name val="Segoe UI"/>
      <family val="2"/>
      <charset val="238"/>
    </font>
    <font>
      <sz val="11"/>
      <color rgb="FF000000"/>
      <name val="Segoe UI"/>
      <family val="2"/>
      <charset val="238"/>
    </font>
    <font>
      <b/>
      <sz val="11"/>
      <color rgb="FF1FAD4B"/>
      <name val="Segoe UI"/>
      <family val="2"/>
      <charset val="238"/>
    </font>
    <font>
      <sz val="8"/>
      <name val="Arial CE"/>
      <family val="2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rgb="FF0000FF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Alignment="0">
      <alignment vertical="top" wrapText="1"/>
      <protection locked="0"/>
    </xf>
    <xf numFmtId="0" fontId="1" fillId="0" borderId="0"/>
    <xf numFmtId="0" fontId="27" fillId="0" borderId="0"/>
  </cellStyleXfs>
  <cellXfs count="278">
    <xf numFmtId="0" fontId="0" fillId="0" borderId="0" xfId="0"/>
    <xf numFmtId="0" fontId="3" fillId="0" borderId="0" xfId="1" applyAlignment="1">
      <alignment horizontal="left" vertical="top"/>
      <protection locked="0"/>
    </xf>
    <xf numFmtId="39" fontId="4" fillId="0" borderId="0" xfId="1" applyNumberFormat="1" applyFont="1" applyAlignment="1">
      <alignment horizontal="right" vertical="center"/>
      <protection locked="0"/>
    </xf>
    <xf numFmtId="0" fontId="9" fillId="0" borderId="12" xfId="1" applyFont="1" applyBorder="1" applyAlignment="1" applyProtection="1">
      <alignment horizontal="left"/>
    </xf>
    <xf numFmtId="0" fontId="9" fillId="0" borderId="6" xfId="1" applyFont="1" applyBorder="1" applyAlignment="1" applyProtection="1">
      <alignment horizontal="left"/>
    </xf>
    <xf numFmtId="0" fontId="9" fillId="0" borderId="13" xfId="1" applyFont="1" applyBorder="1" applyAlignment="1" applyProtection="1">
      <alignment horizontal="left"/>
    </xf>
    <xf numFmtId="0" fontId="9" fillId="0" borderId="14" xfId="1" applyFont="1" applyBorder="1" applyAlignment="1" applyProtection="1">
      <alignment horizontal="left"/>
    </xf>
    <xf numFmtId="0" fontId="9" fillId="0" borderId="0" xfId="1" applyFont="1" applyAlignment="1" applyProtection="1">
      <alignment horizontal="left"/>
    </xf>
    <xf numFmtId="0" fontId="10" fillId="0" borderId="0" xfId="1" applyFont="1" applyAlignment="1" applyProtection="1">
      <alignment horizontal="left"/>
    </xf>
    <xf numFmtId="0" fontId="9" fillId="0" borderId="15" xfId="1" applyFont="1" applyBorder="1" applyAlignment="1" applyProtection="1">
      <alignment horizontal="left"/>
    </xf>
    <xf numFmtId="0" fontId="9" fillId="0" borderId="16" xfId="1" applyFont="1" applyBorder="1" applyAlignment="1" applyProtection="1">
      <alignment horizontal="left"/>
    </xf>
    <xf numFmtId="0" fontId="9" fillId="0" borderId="7" xfId="1" applyFont="1" applyBorder="1" applyAlignment="1" applyProtection="1">
      <alignment horizontal="left"/>
    </xf>
    <xf numFmtId="0" fontId="9" fillId="0" borderId="10" xfId="1" applyFont="1" applyBorder="1" applyAlignment="1" applyProtection="1">
      <alignment horizontal="left"/>
    </xf>
    <xf numFmtId="0" fontId="11" fillId="0" borderId="13" xfId="1" applyFont="1" applyBorder="1" applyAlignment="1" applyProtection="1">
      <alignment horizontal="left" vertical="center"/>
    </xf>
    <xf numFmtId="0" fontId="11" fillId="0" borderId="15" xfId="1" applyFont="1" applyBorder="1" applyAlignment="1" applyProtection="1">
      <alignment horizontal="left" vertical="center"/>
    </xf>
    <xf numFmtId="0" fontId="11" fillId="0" borderId="23" xfId="1" applyFont="1" applyBorder="1" applyAlignment="1" applyProtection="1">
      <alignment horizontal="left" vertical="center"/>
    </xf>
    <xf numFmtId="0" fontId="11" fillId="0" borderId="10" xfId="1" applyFont="1" applyBorder="1" applyAlignment="1" applyProtection="1">
      <alignment horizontal="left" vertical="center"/>
    </xf>
    <xf numFmtId="0" fontId="11" fillId="0" borderId="25" xfId="1" applyFont="1" applyBorder="1" applyAlignment="1" applyProtection="1">
      <alignment horizontal="left" vertical="center"/>
    </xf>
    <xf numFmtId="0" fontId="11" fillId="0" borderId="30" xfId="1" applyFont="1" applyBorder="1" applyAlignment="1" applyProtection="1">
      <alignment horizontal="left" vertical="center"/>
    </xf>
    <xf numFmtId="166" fontId="9" fillId="0" borderId="35" xfId="1" applyNumberFormat="1" applyFont="1" applyBorder="1" applyAlignment="1" applyProtection="1">
      <alignment horizontal="right" vertical="center"/>
    </xf>
    <xf numFmtId="0" fontId="2" fillId="0" borderId="30" xfId="1" applyFont="1" applyBorder="1" applyAlignment="1" applyProtection="1">
      <alignment horizontal="left" vertical="center"/>
    </xf>
    <xf numFmtId="0" fontId="11" fillId="0" borderId="41" xfId="1" applyFont="1" applyBorder="1" applyAlignment="1" applyProtection="1">
      <alignment horizontal="left" vertical="center"/>
    </xf>
    <xf numFmtId="0" fontId="11" fillId="0" borderId="55" xfId="1" applyFont="1" applyBorder="1" applyAlignment="1" applyProtection="1">
      <alignment horizontal="left" vertical="center"/>
    </xf>
    <xf numFmtId="0" fontId="11" fillId="0" borderId="35" xfId="1" applyFont="1" applyBorder="1" applyAlignment="1" applyProtection="1">
      <alignment horizontal="left" vertical="center"/>
    </xf>
    <xf numFmtId="0" fontId="14" fillId="0" borderId="0" xfId="1" applyFont="1" applyAlignment="1">
      <alignment horizontal="left" vertical="top"/>
      <protection locked="0"/>
    </xf>
    <xf numFmtId="0" fontId="14" fillId="0" borderId="0" xfId="1" applyFont="1" applyAlignment="1">
      <alignment horizontal="left" vertical="center" wrapText="1"/>
      <protection locked="0"/>
    </xf>
    <xf numFmtId="39" fontId="14" fillId="0" borderId="0" xfId="1" applyNumberFormat="1" applyFont="1" applyAlignment="1">
      <alignment horizontal="left" vertical="top"/>
      <protection locked="0"/>
    </xf>
    <xf numFmtId="0" fontId="12" fillId="0" borderId="0" xfId="1" applyFont="1" applyAlignment="1">
      <alignment horizontal="left" vertical="top"/>
      <protection locked="0"/>
    </xf>
    <xf numFmtId="0" fontId="15" fillId="0" borderId="0" xfId="1" applyFont="1" applyAlignment="1">
      <alignment horizontal="left" vertical="top"/>
      <protection locked="0"/>
    </xf>
    <xf numFmtId="37" fontId="12" fillId="0" borderId="0" xfId="1" applyNumberFormat="1" applyFont="1" applyAlignment="1">
      <alignment horizontal="center" vertical="center"/>
      <protection locked="0"/>
    </xf>
    <xf numFmtId="0" fontId="12" fillId="0" borderId="0" xfId="1" applyFont="1" applyAlignment="1">
      <alignment horizontal="center" vertical="center" wrapText="1"/>
      <protection locked="0"/>
    </xf>
    <xf numFmtId="0" fontId="12" fillId="0" borderId="0" xfId="1" applyFont="1" applyAlignment="1">
      <alignment horizontal="left" vertical="center" wrapText="1"/>
      <protection locked="0"/>
    </xf>
    <xf numFmtId="0" fontId="12" fillId="0" borderId="0" xfId="1" applyFont="1" applyAlignment="1">
      <alignment horizontal="right" vertical="center" wrapText="1"/>
      <protection locked="0"/>
    </xf>
    <xf numFmtId="39" fontId="12" fillId="0" borderId="0" xfId="1" applyNumberFormat="1" applyFont="1" applyAlignment="1">
      <alignment horizontal="right" vertical="center"/>
      <protection locked="0"/>
    </xf>
    <xf numFmtId="37" fontId="13" fillId="0" borderId="0" xfId="1" applyNumberFormat="1" applyFont="1" applyAlignment="1">
      <alignment horizontal="center" vertical="center"/>
      <protection locked="0"/>
    </xf>
    <xf numFmtId="0" fontId="13" fillId="0" borderId="0" xfId="1" applyFont="1" applyAlignment="1">
      <alignment horizontal="center" vertical="center" wrapText="1"/>
      <protection locked="0"/>
    </xf>
    <xf numFmtId="39" fontId="13" fillId="0" borderId="0" xfId="1" applyNumberFormat="1" applyFont="1" applyAlignment="1">
      <alignment horizontal="right" vertical="center"/>
      <protection locked="0"/>
    </xf>
    <xf numFmtId="164" fontId="12" fillId="0" borderId="0" xfId="1" applyNumberFormat="1" applyFont="1" applyAlignment="1">
      <alignment horizontal="right" vertical="center"/>
      <protection locked="0"/>
    </xf>
    <xf numFmtId="37" fontId="12" fillId="0" borderId="1" xfId="1" applyNumberFormat="1" applyFont="1" applyBorder="1" applyAlignment="1">
      <alignment horizontal="center" vertical="center"/>
      <protection locked="0"/>
    </xf>
    <xf numFmtId="0" fontId="12" fillId="0" borderId="1" xfId="1" applyFont="1" applyBorder="1" applyAlignment="1">
      <alignment horizontal="center" vertical="center" wrapText="1"/>
      <protection locked="0"/>
    </xf>
    <xf numFmtId="39" fontId="12" fillId="0" borderId="1" xfId="1" applyNumberFormat="1" applyFont="1" applyBorder="1" applyAlignment="1">
      <alignment horizontal="right" vertical="center"/>
      <protection locked="0"/>
    </xf>
    <xf numFmtId="37" fontId="17" fillId="0" borderId="0" xfId="1" applyNumberFormat="1" applyFont="1" applyAlignment="1">
      <alignment horizontal="center" vertical="center"/>
      <protection locked="0"/>
    </xf>
    <xf numFmtId="0" fontId="17" fillId="0" borderId="0" xfId="1" applyFont="1" applyAlignment="1">
      <alignment horizontal="center" vertical="center" wrapText="1"/>
      <protection locked="0"/>
    </xf>
    <xf numFmtId="0" fontId="17" fillId="0" borderId="0" xfId="1" applyFont="1" applyAlignment="1">
      <alignment horizontal="left" vertical="center" wrapText="1"/>
      <protection locked="0"/>
    </xf>
    <xf numFmtId="164" fontId="17" fillId="0" borderId="0" xfId="1" applyNumberFormat="1" applyFont="1" applyAlignment="1">
      <alignment horizontal="right" vertical="center"/>
      <protection locked="0"/>
    </xf>
    <xf numFmtId="39" fontId="17" fillId="0" borderId="0" xfId="1" applyNumberFormat="1" applyFont="1" applyAlignment="1">
      <alignment horizontal="right" vertical="center"/>
      <protection locked="0"/>
    </xf>
    <xf numFmtId="37" fontId="14" fillId="0" borderId="59" xfId="1" applyNumberFormat="1" applyFont="1" applyBorder="1" applyAlignment="1">
      <alignment horizontal="center" vertical="center"/>
      <protection locked="0"/>
    </xf>
    <xf numFmtId="0" fontId="14" fillId="0" borderId="60" xfId="1" applyFont="1" applyBorder="1" applyAlignment="1">
      <alignment horizontal="center" vertical="center" wrapText="1"/>
      <protection locked="0"/>
    </xf>
    <xf numFmtId="0" fontId="14" fillId="0" borderId="60" xfId="1" applyFont="1" applyBorder="1" applyAlignment="1">
      <alignment horizontal="left" vertical="center" wrapText="1"/>
      <protection locked="0"/>
    </xf>
    <xf numFmtId="164" fontId="14" fillId="0" borderId="60" xfId="1" applyNumberFormat="1" applyFont="1" applyBorder="1" applyAlignment="1">
      <alignment horizontal="right" vertical="center"/>
      <protection locked="0"/>
    </xf>
    <xf numFmtId="39" fontId="14" fillId="0" borderId="60" xfId="1" applyNumberFormat="1" applyFont="1" applyBorder="1" applyAlignment="1">
      <alignment horizontal="right" vertical="center"/>
      <protection locked="0"/>
    </xf>
    <xf numFmtId="39" fontId="14" fillId="0" borderId="62" xfId="1" applyNumberFormat="1" applyFont="1" applyBorder="1" applyAlignment="1">
      <alignment horizontal="right" vertical="center"/>
      <protection locked="0"/>
    </xf>
    <xf numFmtId="37" fontId="14" fillId="0" borderId="0" xfId="1" applyNumberFormat="1" applyFont="1" applyAlignment="1">
      <alignment horizontal="center" vertical="center"/>
      <protection locked="0"/>
    </xf>
    <xf numFmtId="0" fontId="14" fillId="0" borderId="0" xfId="1" applyFont="1" applyAlignment="1">
      <alignment horizontal="center" vertical="center" wrapText="1"/>
      <protection locked="0"/>
    </xf>
    <xf numFmtId="164" fontId="14" fillId="0" borderId="0" xfId="1" applyNumberFormat="1" applyFont="1" applyAlignment="1">
      <alignment horizontal="right" vertical="center"/>
      <protection locked="0"/>
    </xf>
    <xf numFmtId="39" fontId="14" fillId="0" borderId="0" xfId="1" applyNumberFormat="1" applyFont="1" applyAlignment="1">
      <alignment horizontal="right" vertical="center"/>
      <protection locked="0"/>
    </xf>
    <xf numFmtId="0" fontId="14" fillId="0" borderId="0" xfId="1" applyFont="1" applyAlignment="1">
      <alignment horizontal="right" vertical="center" wrapText="1"/>
      <protection locked="0"/>
    </xf>
    <xf numFmtId="37" fontId="18" fillId="0" borderId="59" xfId="1" applyNumberFormat="1" applyFont="1" applyBorder="1" applyAlignment="1">
      <alignment horizontal="center" vertical="center"/>
      <protection locked="0"/>
    </xf>
    <xf numFmtId="0" fontId="18" fillId="0" borderId="60" xfId="1" applyFont="1" applyBorder="1" applyAlignment="1">
      <alignment horizontal="center" vertical="center" wrapText="1"/>
      <protection locked="0"/>
    </xf>
    <xf numFmtId="0" fontId="18" fillId="0" borderId="60" xfId="1" applyFont="1" applyBorder="1" applyAlignment="1">
      <alignment horizontal="left" vertical="center" wrapText="1"/>
      <protection locked="0"/>
    </xf>
    <xf numFmtId="164" fontId="18" fillId="0" borderId="60" xfId="1" applyNumberFormat="1" applyFont="1" applyBorder="1" applyAlignment="1">
      <alignment horizontal="right" vertical="center"/>
      <protection locked="0"/>
    </xf>
    <xf numFmtId="39" fontId="18" fillId="0" borderId="60" xfId="1" applyNumberFormat="1" applyFont="1" applyBorder="1" applyAlignment="1">
      <alignment horizontal="right" vertical="center"/>
      <protection locked="0"/>
    </xf>
    <xf numFmtId="39" fontId="18" fillId="0" borderId="62" xfId="1" applyNumberFormat="1" applyFont="1" applyBorder="1" applyAlignment="1">
      <alignment horizontal="right" vertical="center"/>
      <protection locked="0"/>
    </xf>
    <xf numFmtId="0" fontId="14" fillId="0" borderId="60" xfId="2" applyFont="1" applyBorder="1" applyAlignment="1" applyProtection="1">
      <alignment horizontal="center" vertical="center"/>
      <protection locked="0"/>
    </xf>
    <xf numFmtId="169" fontId="14" fillId="0" borderId="60" xfId="2" applyNumberFormat="1" applyFont="1" applyBorder="1" applyAlignment="1" applyProtection="1">
      <alignment horizontal="right" vertical="center"/>
      <protection locked="0"/>
    </xf>
    <xf numFmtId="0" fontId="14" fillId="0" borderId="60" xfId="2" applyFont="1" applyBorder="1" applyAlignment="1" applyProtection="1">
      <alignment horizontal="right" vertical="center"/>
      <protection locked="0"/>
    </xf>
    <xf numFmtId="0" fontId="14" fillId="0" borderId="60" xfId="2" applyFont="1" applyBorder="1" applyAlignment="1" applyProtection="1">
      <alignment horizontal="left" vertical="center" wrapText="1"/>
      <protection locked="0"/>
    </xf>
    <xf numFmtId="0" fontId="14" fillId="0" borderId="61" xfId="1" applyFont="1" applyBorder="1" applyAlignment="1" applyProtection="1">
      <alignment horizontal="center" vertical="center" wrapText="1"/>
    </xf>
    <xf numFmtId="0" fontId="14" fillId="0" borderId="60" xfId="1" applyFont="1" applyBorder="1" applyAlignment="1" applyProtection="1">
      <alignment horizontal="left" vertical="center" wrapText="1"/>
    </xf>
    <xf numFmtId="0" fontId="14" fillId="0" borderId="60" xfId="1" applyFont="1" applyBorder="1" applyAlignment="1" applyProtection="1">
      <alignment horizontal="center" vertical="center" wrapText="1"/>
    </xf>
    <xf numFmtId="165" fontId="14" fillId="0" borderId="60" xfId="1" applyNumberFormat="1" applyFont="1" applyBorder="1" applyAlignment="1" applyProtection="1">
      <alignment horizontal="right" vertical="center"/>
    </xf>
    <xf numFmtId="2" fontId="14" fillId="0" borderId="60" xfId="1" applyNumberFormat="1" applyFont="1" applyBorder="1" applyAlignment="1" applyProtection="1">
      <alignment horizontal="right" vertical="center"/>
    </xf>
    <xf numFmtId="37" fontId="19" fillId="0" borderId="0" xfId="1" applyNumberFormat="1" applyFont="1" applyAlignment="1">
      <alignment horizontal="right" vertical="center"/>
      <protection locked="0"/>
    </xf>
    <xf numFmtId="0" fontId="19" fillId="0" borderId="0" xfId="1" applyFont="1" applyAlignment="1">
      <alignment horizontal="left" vertical="center" wrapText="1"/>
      <protection locked="0"/>
    </xf>
    <xf numFmtId="164" fontId="19" fillId="0" borderId="0" xfId="1" applyNumberFormat="1" applyFont="1" applyAlignment="1">
      <alignment horizontal="right" vertical="center"/>
      <protection locked="0"/>
    </xf>
    <xf numFmtId="39" fontId="19" fillId="0" borderId="0" xfId="1" applyNumberFormat="1" applyFont="1" applyAlignment="1">
      <alignment horizontal="right" vertical="center"/>
      <protection locked="0"/>
    </xf>
    <xf numFmtId="0" fontId="14" fillId="0" borderId="0" xfId="1" applyFont="1" applyAlignment="1">
      <alignment horizontal="left" vertical="center"/>
      <protection locked="0"/>
    </xf>
    <xf numFmtId="0" fontId="21" fillId="0" borderId="0" xfId="1" applyFont="1" applyAlignment="1">
      <alignment horizontal="left" vertical="top"/>
      <protection locked="0"/>
    </xf>
    <xf numFmtId="0" fontId="22" fillId="0" borderId="0" xfId="1" applyFont="1" applyAlignment="1">
      <alignment horizontal="left" wrapText="1"/>
      <protection locked="0"/>
    </xf>
    <xf numFmtId="39" fontId="22" fillId="0" borderId="0" xfId="1" applyNumberFormat="1" applyFont="1" applyAlignment="1">
      <alignment horizontal="right"/>
      <protection locked="0"/>
    </xf>
    <xf numFmtId="0" fontId="20" fillId="0" borderId="0" xfId="1" applyFont="1" applyAlignment="1">
      <alignment horizontal="center" wrapText="1"/>
      <protection locked="0"/>
    </xf>
    <xf numFmtId="0" fontId="20" fillId="0" borderId="0" xfId="1" applyFont="1" applyAlignment="1">
      <alignment horizontal="left" wrapText="1"/>
      <protection locked="0"/>
    </xf>
    <xf numFmtId="39" fontId="20" fillId="0" borderId="0" xfId="1" applyNumberFormat="1" applyFont="1" applyAlignment="1">
      <alignment horizontal="right"/>
      <protection locked="0"/>
    </xf>
    <xf numFmtId="167" fontId="21" fillId="0" borderId="0" xfId="1" applyNumberFormat="1" applyFont="1" applyAlignment="1">
      <alignment horizontal="left" vertical="top"/>
      <protection locked="0"/>
    </xf>
    <xf numFmtId="0" fontId="23" fillId="0" borderId="0" xfId="1" applyFont="1" applyAlignment="1">
      <alignment horizontal="left" wrapText="1"/>
      <protection locked="0"/>
    </xf>
    <xf numFmtId="39" fontId="23" fillId="0" borderId="0" xfId="1" applyNumberFormat="1" applyFont="1" applyAlignment="1">
      <alignment horizontal="right"/>
      <protection locked="0"/>
    </xf>
    <xf numFmtId="0" fontId="8" fillId="0" borderId="0" xfId="1" applyFont="1" applyAlignment="1" applyProtection="1">
      <alignment horizontal="left"/>
    </xf>
    <xf numFmtId="0" fontId="21" fillId="0" borderId="0" xfId="1" applyFont="1" applyAlignment="1" applyProtection="1">
      <alignment horizontal="left"/>
    </xf>
    <xf numFmtId="0" fontId="5" fillId="0" borderId="0" xfId="1" applyFont="1" applyAlignment="1" applyProtection="1">
      <alignment horizontal="left"/>
    </xf>
    <xf numFmtId="0" fontId="14" fillId="0" borderId="12" xfId="1" applyFont="1" applyBorder="1" applyAlignment="1" applyProtection="1">
      <alignment horizontal="left" vertical="center"/>
    </xf>
    <xf numFmtId="0" fontId="14" fillId="0" borderId="6" xfId="1" applyFont="1" applyBorder="1" applyAlignment="1" applyProtection="1">
      <alignment horizontal="left" vertical="center"/>
    </xf>
    <xf numFmtId="0" fontId="14" fillId="0" borderId="14" xfId="1" applyFont="1" applyBorder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/>
    </xf>
    <xf numFmtId="0" fontId="17" fillId="0" borderId="17" xfId="1" applyFont="1" applyBorder="1" applyAlignment="1" applyProtection="1">
      <alignment horizontal="left" vertical="center"/>
    </xf>
    <xf numFmtId="0" fontId="14" fillId="0" borderId="18" xfId="1" applyFont="1" applyBorder="1" applyAlignment="1" applyProtection="1">
      <alignment horizontal="left" vertical="center"/>
    </xf>
    <xf numFmtId="0" fontId="14" fillId="0" borderId="19" xfId="1" applyFont="1" applyBorder="1" applyAlignment="1" applyProtection="1">
      <alignment horizontal="left" vertical="center"/>
    </xf>
    <xf numFmtId="0" fontId="14" fillId="0" borderId="17" xfId="1" applyFont="1" applyBorder="1" applyAlignment="1" applyProtection="1">
      <alignment horizontal="left" vertical="center"/>
    </xf>
    <xf numFmtId="0" fontId="17" fillId="0" borderId="20" xfId="1" applyFont="1" applyBorder="1" applyAlignment="1" applyProtection="1">
      <alignment horizontal="left" vertical="center"/>
    </xf>
    <xf numFmtId="0" fontId="14" fillId="0" borderId="21" xfId="1" applyFont="1" applyBorder="1" applyAlignment="1" applyProtection="1">
      <alignment horizontal="left" vertical="center"/>
    </xf>
    <xf numFmtId="0" fontId="14" fillId="0" borderId="20" xfId="1" applyFont="1" applyBorder="1" applyAlignment="1" applyProtection="1">
      <alignment horizontal="left" vertical="center"/>
    </xf>
    <xf numFmtId="0" fontId="14" fillId="0" borderId="22" xfId="1" applyFont="1" applyBorder="1" applyAlignment="1" applyProtection="1">
      <alignment horizontal="left" vertical="center"/>
    </xf>
    <xf numFmtId="0" fontId="14" fillId="0" borderId="9" xfId="1" applyFont="1" applyBorder="1" applyAlignment="1" applyProtection="1">
      <alignment horizontal="left" vertical="center"/>
    </xf>
    <xf numFmtId="0" fontId="14" fillId="0" borderId="8" xfId="1" applyFont="1" applyBorder="1" applyAlignment="1" applyProtection="1">
      <alignment horizontal="left" vertical="center"/>
    </xf>
    <xf numFmtId="0" fontId="14" fillId="0" borderId="4" xfId="1" applyFont="1" applyBorder="1" applyAlignment="1" applyProtection="1">
      <alignment horizontal="left" vertical="center"/>
    </xf>
    <xf numFmtId="0" fontId="14" fillId="0" borderId="23" xfId="1" applyFont="1" applyBorder="1" applyAlignment="1" applyProtection="1">
      <alignment horizontal="left" vertical="center"/>
    </xf>
    <xf numFmtId="0" fontId="14" fillId="0" borderId="3" xfId="1" applyFont="1" applyBorder="1" applyAlignment="1" applyProtection="1">
      <alignment horizontal="left" vertical="center"/>
    </xf>
    <xf numFmtId="0" fontId="14" fillId="0" borderId="16" xfId="1" applyFont="1" applyBorder="1" applyAlignment="1" applyProtection="1">
      <alignment horizontal="left" vertical="center"/>
    </xf>
    <xf numFmtId="0" fontId="14" fillId="0" borderId="7" xfId="1" applyFont="1" applyBorder="1" applyAlignment="1" applyProtection="1">
      <alignment horizontal="left" vertical="center"/>
    </xf>
    <xf numFmtId="0" fontId="14" fillId="0" borderId="5" xfId="1" applyFont="1" applyBorder="1" applyAlignment="1" applyProtection="1">
      <alignment horizontal="left" vertical="center"/>
    </xf>
    <xf numFmtId="0" fontId="14" fillId="0" borderId="24" xfId="1" applyFont="1" applyBorder="1" applyAlignment="1" applyProtection="1">
      <alignment horizontal="left" vertical="center"/>
    </xf>
    <xf numFmtId="0" fontId="17" fillId="0" borderId="24" xfId="1" applyFont="1" applyBorder="1" applyAlignment="1" applyProtection="1">
      <alignment horizontal="left" vertical="center"/>
    </xf>
    <xf numFmtId="0" fontId="14" fillId="0" borderId="26" xfId="1" applyFont="1" applyBorder="1" applyAlignment="1" applyProtection="1">
      <alignment horizontal="left" vertical="center"/>
    </xf>
    <xf numFmtId="0" fontId="14" fillId="0" borderId="27" xfId="1" applyFont="1" applyBorder="1" applyAlignment="1" applyProtection="1">
      <alignment horizontal="left" vertical="center"/>
    </xf>
    <xf numFmtId="0" fontId="14" fillId="0" borderId="28" xfId="1" applyFont="1" applyBorder="1" applyAlignment="1" applyProtection="1">
      <alignment horizontal="left" vertical="center"/>
    </xf>
    <xf numFmtId="0" fontId="14" fillId="0" borderId="29" xfId="1" applyFont="1" applyBorder="1" applyAlignment="1" applyProtection="1">
      <alignment horizontal="left" vertical="center"/>
    </xf>
    <xf numFmtId="166" fontId="14" fillId="0" borderId="31" xfId="1" applyNumberFormat="1" applyFont="1" applyBorder="1" applyAlignment="1" applyProtection="1">
      <alignment horizontal="right" vertical="center"/>
    </xf>
    <xf numFmtId="166" fontId="14" fillId="0" borderId="32" xfId="1" applyNumberFormat="1" applyFont="1" applyBorder="1" applyAlignment="1" applyProtection="1">
      <alignment horizontal="right" vertical="center"/>
    </xf>
    <xf numFmtId="37" fontId="14" fillId="0" borderId="33" xfId="1" applyNumberFormat="1" applyFont="1" applyBorder="1" applyAlignment="1" applyProtection="1">
      <alignment horizontal="right" vertical="center"/>
    </xf>
    <xf numFmtId="39" fontId="14" fillId="0" borderId="34" xfId="1" applyNumberFormat="1" applyFont="1" applyBorder="1" applyAlignment="1" applyProtection="1">
      <alignment horizontal="right" vertical="center"/>
    </xf>
    <xf numFmtId="166" fontId="14" fillId="0" borderId="33" xfId="1" applyNumberFormat="1" applyFont="1" applyBorder="1" applyAlignment="1" applyProtection="1">
      <alignment horizontal="right" vertical="center"/>
    </xf>
    <xf numFmtId="166" fontId="14" fillId="0" borderId="34" xfId="1" applyNumberFormat="1" applyFont="1" applyBorder="1" applyAlignment="1" applyProtection="1">
      <alignment horizontal="right" vertical="center"/>
    </xf>
    <xf numFmtId="37" fontId="14" fillId="0" borderId="7" xfId="1" applyNumberFormat="1" applyFont="1" applyBorder="1" applyAlignment="1" applyProtection="1">
      <alignment horizontal="right" vertical="center"/>
    </xf>
    <xf numFmtId="39" fontId="14" fillId="0" borderId="32" xfId="1" applyNumberFormat="1" applyFont="1" applyBorder="1" applyAlignment="1" applyProtection="1">
      <alignment horizontal="right" vertical="center"/>
    </xf>
    <xf numFmtId="0" fontId="17" fillId="0" borderId="24" xfId="1" applyFont="1" applyBorder="1" applyAlignment="1" applyProtection="1">
      <alignment horizontal="left" vertical="center" wrapText="1"/>
    </xf>
    <xf numFmtId="0" fontId="17" fillId="0" borderId="26" xfId="1" applyFont="1" applyBorder="1" applyAlignment="1" applyProtection="1">
      <alignment horizontal="left" vertical="center"/>
    </xf>
    <xf numFmtId="0" fontId="17" fillId="0" borderId="28" xfId="1" applyFont="1" applyBorder="1" applyAlignment="1" applyProtection="1">
      <alignment horizontal="left" vertical="center"/>
    </xf>
    <xf numFmtId="0" fontId="17" fillId="0" borderId="29" xfId="1" applyFont="1" applyBorder="1" applyAlignment="1" applyProtection="1">
      <alignment horizontal="left" vertical="center"/>
    </xf>
    <xf numFmtId="0" fontId="17" fillId="0" borderId="27" xfId="1" applyFont="1" applyBorder="1" applyAlignment="1" applyProtection="1">
      <alignment horizontal="left" vertical="center"/>
    </xf>
    <xf numFmtId="0" fontId="17" fillId="0" borderId="30" xfId="1" applyFont="1" applyBorder="1" applyAlignment="1" applyProtection="1">
      <alignment horizontal="left" vertical="center"/>
    </xf>
    <xf numFmtId="0" fontId="17" fillId="0" borderId="0" xfId="1" applyFont="1" applyAlignment="1" applyProtection="1">
      <alignment horizontal="left" vertical="center"/>
    </xf>
    <xf numFmtId="0" fontId="14" fillId="0" borderId="36" xfId="1" applyFont="1" applyBorder="1" applyAlignment="1" applyProtection="1">
      <alignment horizontal="center" vertical="center"/>
    </xf>
    <xf numFmtId="0" fontId="17" fillId="0" borderId="37" xfId="1" applyFont="1" applyBorder="1" applyAlignment="1" applyProtection="1">
      <alignment horizontal="left" vertical="center"/>
    </xf>
    <xf numFmtId="0" fontId="14" fillId="0" borderId="38" xfId="1" applyFont="1" applyBorder="1" applyAlignment="1" applyProtection="1">
      <alignment horizontal="left" vertical="center"/>
    </xf>
    <xf numFmtId="0" fontId="14" fillId="0" borderId="39" xfId="1" applyFont="1" applyBorder="1" applyAlignment="1" applyProtection="1">
      <alignment horizontal="left" vertical="center"/>
    </xf>
    <xf numFmtId="39" fontId="14" fillId="0" borderId="40" xfId="1" applyNumberFormat="1" applyFont="1" applyBorder="1" applyAlignment="1" applyProtection="1">
      <alignment horizontal="right" vertical="center"/>
    </xf>
    <xf numFmtId="0" fontId="14" fillId="0" borderId="41" xfId="1" applyFont="1" applyBorder="1" applyAlignment="1" applyProtection="1">
      <alignment horizontal="left" vertical="center"/>
    </xf>
    <xf numFmtId="0" fontId="14" fillId="0" borderId="40" xfId="1" applyFont="1" applyBorder="1" applyAlignment="1" applyProtection="1">
      <alignment horizontal="left" vertical="center"/>
    </xf>
    <xf numFmtId="0" fontId="14" fillId="0" borderId="42" xfId="1" applyFont="1" applyBorder="1" applyAlignment="1" applyProtection="1">
      <alignment horizontal="left" vertical="center"/>
    </xf>
    <xf numFmtId="37" fontId="14" fillId="0" borderId="40" xfId="1" applyNumberFormat="1" applyFont="1" applyBorder="1" applyAlignment="1" applyProtection="1">
      <alignment horizontal="right" vertical="center"/>
    </xf>
    <xf numFmtId="166" fontId="14" fillId="0" borderId="43" xfId="1" applyNumberFormat="1" applyFont="1" applyBorder="1" applyAlignment="1" applyProtection="1">
      <alignment horizontal="right" vertical="center"/>
    </xf>
    <xf numFmtId="0" fontId="14" fillId="0" borderId="43" xfId="1" applyFont="1" applyBorder="1" applyAlignment="1" applyProtection="1">
      <alignment horizontal="left" vertical="center"/>
    </xf>
    <xf numFmtId="168" fontId="14" fillId="0" borderId="39" xfId="1" applyNumberFormat="1" applyFont="1" applyBorder="1" applyAlignment="1" applyProtection="1">
      <alignment horizontal="right" vertical="center"/>
    </xf>
    <xf numFmtId="0" fontId="14" fillId="0" borderId="44" xfId="1" applyFont="1" applyBorder="1" applyAlignment="1" applyProtection="1">
      <alignment horizontal="left" vertical="center"/>
    </xf>
    <xf numFmtId="0" fontId="14" fillId="0" borderId="45" xfId="1" applyFont="1" applyBorder="1" applyAlignment="1" applyProtection="1">
      <alignment horizontal="left" vertical="center"/>
    </xf>
    <xf numFmtId="0" fontId="14" fillId="0" borderId="46" xfId="1" applyFont="1" applyBorder="1" applyAlignment="1" applyProtection="1">
      <alignment horizontal="center" vertical="center"/>
    </xf>
    <xf numFmtId="0" fontId="17" fillId="0" borderId="40" xfId="1" applyFont="1" applyBorder="1" applyAlignment="1" applyProtection="1">
      <alignment horizontal="left" vertical="center"/>
    </xf>
    <xf numFmtId="39" fontId="17" fillId="0" borderId="5" xfId="1" applyNumberFormat="1" applyFont="1" applyBorder="1" applyAlignment="1" applyProtection="1">
      <alignment horizontal="right" vertical="center"/>
    </xf>
    <xf numFmtId="0" fontId="14" fillId="0" borderId="25" xfId="1" applyFont="1" applyBorder="1" applyAlignment="1" applyProtection="1">
      <alignment horizontal="left" vertical="center"/>
    </xf>
    <xf numFmtId="37" fontId="14" fillId="0" borderId="5" xfId="1" applyNumberFormat="1" applyFont="1" applyBorder="1" applyAlignment="1" applyProtection="1">
      <alignment horizontal="right" vertical="center"/>
    </xf>
    <xf numFmtId="166" fontId="14" fillId="0" borderId="25" xfId="1" applyNumberFormat="1" applyFont="1" applyBorder="1" applyAlignment="1" applyProtection="1">
      <alignment horizontal="right" vertical="center"/>
    </xf>
    <xf numFmtId="0" fontId="14" fillId="0" borderId="47" xfId="1" applyFont="1" applyBorder="1" applyAlignment="1" applyProtection="1">
      <alignment horizontal="center" vertical="center"/>
    </xf>
    <xf numFmtId="0" fontId="14" fillId="0" borderId="34" xfId="1" applyFont="1" applyBorder="1" applyAlignment="1" applyProtection="1">
      <alignment horizontal="left" vertical="center"/>
    </xf>
    <xf numFmtId="0" fontId="14" fillId="0" borderId="32" xfId="1" applyFont="1" applyBorder="1" applyAlignment="1" applyProtection="1">
      <alignment horizontal="left" vertical="center"/>
    </xf>
    <xf numFmtId="0" fontId="14" fillId="0" borderId="33" xfId="1" applyFont="1" applyBorder="1" applyAlignment="1" applyProtection="1">
      <alignment horizontal="left" vertical="center"/>
    </xf>
    <xf numFmtId="39" fontId="14" fillId="0" borderId="48" xfId="1" applyNumberFormat="1" applyFont="1" applyBorder="1" applyAlignment="1" applyProtection="1">
      <alignment horizontal="right" vertical="center"/>
    </xf>
    <xf numFmtId="0" fontId="14" fillId="0" borderId="10" xfId="1" applyFont="1" applyBorder="1" applyAlignment="1" applyProtection="1">
      <alignment horizontal="left" vertical="center"/>
    </xf>
    <xf numFmtId="39" fontId="14" fillId="0" borderId="24" xfId="1" applyNumberFormat="1" applyFont="1" applyBorder="1" applyAlignment="1" applyProtection="1">
      <alignment horizontal="right" vertical="center"/>
    </xf>
    <xf numFmtId="166" fontId="14" fillId="0" borderId="7" xfId="1" applyNumberFormat="1" applyFont="1" applyBorder="1" applyAlignment="1" applyProtection="1">
      <alignment horizontal="right" vertical="center"/>
    </xf>
    <xf numFmtId="0" fontId="17" fillId="0" borderId="12" xfId="1" applyFont="1" applyBorder="1" applyAlignment="1" applyProtection="1">
      <alignment horizontal="left" vertical="top"/>
    </xf>
    <xf numFmtId="0" fontId="14" fillId="0" borderId="49" xfId="1" applyFont="1" applyBorder="1" applyAlignment="1" applyProtection="1">
      <alignment horizontal="left" vertical="center"/>
    </xf>
    <xf numFmtId="0" fontId="14" fillId="0" borderId="50" xfId="1" applyFont="1" applyBorder="1" applyAlignment="1" applyProtection="1">
      <alignment horizontal="left" vertical="center"/>
    </xf>
    <xf numFmtId="0" fontId="14" fillId="0" borderId="51" xfId="1" applyFont="1" applyBorder="1" applyAlignment="1" applyProtection="1">
      <alignment horizontal="left" vertical="center"/>
    </xf>
    <xf numFmtId="0" fontId="14" fillId="0" borderId="52" xfId="1" applyFont="1" applyBorder="1" applyAlignment="1" applyProtection="1">
      <alignment horizontal="left" vertical="center"/>
    </xf>
    <xf numFmtId="0" fontId="14" fillId="0" borderId="53" xfId="1" applyFont="1" applyBorder="1" applyAlignment="1" applyProtection="1">
      <alignment horizontal="left"/>
    </xf>
    <xf numFmtId="0" fontId="14" fillId="0" borderId="54" xfId="1" applyFont="1" applyBorder="1" applyAlignment="1" applyProtection="1">
      <alignment horizontal="left" vertical="center"/>
    </xf>
    <xf numFmtId="0" fontId="14" fillId="0" borderId="44" xfId="1" applyFont="1" applyBorder="1" applyAlignment="1" applyProtection="1">
      <alignment horizontal="left"/>
    </xf>
    <xf numFmtId="2" fontId="14" fillId="0" borderId="43" xfId="1" applyNumberFormat="1" applyFont="1" applyBorder="1" applyAlignment="1" applyProtection="1">
      <alignment horizontal="right" vertical="center"/>
    </xf>
    <xf numFmtId="39" fontId="14" fillId="0" borderId="44" xfId="1" applyNumberFormat="1" applyFont="1" applyBorder="1" applyAlignment="1" applyProtection="1">
      <alignment horizontal="right" vertical="center"/>
    </xf>
    <xf numFmtId="0" fontId="17" fillId="0" borderId="56" xfId="1" applyFont="1" applyBorder="1" applyAlignment="1" applyProtection="1">
      <alignment horizontal="left" vertical="top"/>
    </xf>
    <xf numFmtId="0" fontId="14" fillId="0" borderId="57" xfId="1" applyFont="1" applyBorder="1" applyAlignment="1" applyProtection="1">
      <alignment horizontal="left" vertical="center"/>
    </xf>
    <xf numFmtId="0" fontId="14" fillId="0" borderId="37" xfId="1" applyFont="1" applyBorder="1" applyAlignment="1" applyProtection="1">
      <alignment horizontal="left" vertical="center"/>
    </xf>
    <xf numFmtId="0" fontId="17" fillId="0" borderId="34" xfId="1" applyFont="1" applyBorder="1" applyAlignment="1" applyProtection="1">
      <alignment horizontal="left" vertical="center"/>
    </xf>
    <xf numFmtId="39" fontId="17" fillId="0" borderId="4" xfId="1" applyNumberFormat="1" applyFont="1" applyBorder="1" applyAlignment="1" applyProtection="1">
      <alignment horizontal="right" vertical="center"/>
    </xf>
    <xf numFmtId="0" fontId="14" fillId="0" borderId="16" xfId="1" applyFont="1" applyBorder="1" applyAlignment="1" applyProtection="1">
      <alignment horizontal="left"/>
    </xf>
    <xf numFmtId="0" fontId="14" fillId="0" borderId="58" xfId="1" applyFont="1" applyBorder="1" applyAlignment="1" applyProtection="1">
      <alignment horizontal="left" vertical="center"/>
    </xf>
    <xf numFmtId="0" fontId="14" fillId="0" borderId="48" xfId="1" applyFont="1" applyBorder="1" applyAlignment="1" applyProtection="1">
      <alignment horizontal="left"/>
    </xf>
    <xf numFmtId="170" fontId="14" fillId="0" borderId="0" xfId="1" applyNumberFormat="1" applyFont="1" applyAlignment="1">
      <alignment horizontal="left" vertical="top"/>
      <protection locked="0"/>
    </xf>
    <xf numFmtId="170" fontId="12" fillId="0" borderId="0" xfId="1" applyNumberFormat="1" applyFont="1" applyAlignment="1">
      <alignment horizontal="left" vertical="top"/>
      <protection locked="0"/>
    </xf>
    <xf numFmtId="170" fontId="13" fillId="0" borderId="0" xfId="1" applyNumberFormat="1" applyFont="1" applyAlignment="1">
      <alignment horizontal="left" vertical="top"/>
      <protection locked="0"/>
    </xf>
    <xf numFmtId="0" fontId="18" fillId="0" borderId="60" xfId="1" applyFont="1" applyBorder="1" applyAlignment="1">
      <alignment horizontal="left" vertical="top" wrapText="1"/>
      <protection locked="0"/>
    </xf>
    <xf numFmtId="3" fontId="18" fillId="0" borderId="60" xfId="1" applyNumberFormat="1" applyFont="1" applyBorder="1" applyAlignment="1">
      <alignment horizontal="center" vertical="center" wrapText="1"/>
      <protection locked="0"/>
    </xf>
    <xf numFmtId="37" fontId="18" fillId="0" borderId="0" xfId="1" applyNumberFormat="1" applyFont="1" applyAlignment="1">
      <alignment horizontal="center" vertical="center"/>
      <protection locked="0"/>
    </xf>
    <xf numFmtId="3" fontId="18" fillId="0" borderId="0" xfId="1" applyNumberFormat="1" applyFont="1" applyAlignment="1">
      <alignment horizontal="center" vertical="center" wrapText="1"/>
      <protection locked="0"/>
    </xf>
    <xf numFmtId="0" fontId="18" fillId="0" borderId="0" xfId="1" applyFont="1" applyAlignment="1">
      <alignment horizontal="left" vertical="center" wrapText="1"/>
      <protection locked="0"/>
    </xf>
    <xf numFmtId="0" fontId="18" fillId="0" borderId="0" xfId="1" applyFont="1" applyAlignment="1">
      <alignment horizontal="center" vertical="center" wrapText="1"/>
      <protection locked="0"/>
    </xf>
    <xf numFmtId="164" fontId="18" fillId="0" borderId="0" xfId="1" applyNumberFormat="1" applyFont="1" applyAlignment="1">
      <alignment horizontal="right" vertical="center"/>
      <protection locked="0"/>
    </xf>
    <xf numFmtId="39" fontId="18" fillId="0" borderId="0" xfId="1" applyNumberFormat="1" applyFont="1" applyAlignment="1">
      <alignment horizontal="right" vertical="center"/>
      <protection locked="0"/>
    </xf>
    <xf numFmtId="0" fontId="14" fillId="0" borderId="0" xfId="2" applyFont="1" applyAlignment="1" applyProtection="1">
      <alignment horizontal="left" vertical="center" wrapText="1"/>
      <protection locked="0"/>
    </xf>
    <xf numFmtId="0" fontId="14" fillId="0" borderId="0" xfId="2" applyFont="1" applyAlignment="1" applyProtection="1">
      <alignment horizontal="center" vertical="center"/>
      <protection locked="0"/>
    </xf>
    <xf numFmtId="169" fontId="14" fillId="0" borderId="0" xfId="2" applyNumberFormat="1" applyFont="1" applyAlignment="1" applyProtection="1">
      <alignment horizontal="right" vertical="center"/>
      <protection locked="0"/>
    </xf>
    <xf numFmtId="0" fontId="14" fillId="0" borderId="0" xfId="2" applyFont="1" applyAlignment="1" applyProtection="1">
      <alignment horizontal="right" vertical="center"/>
      <protection locked="0"/>
    </xf>
    <xf numFmtId="0" fontId="17" fillId="0" borderId="0" xfId="2" applyFont="1" applyAlignment="1" applyProtection="1">
      <alignment horizontal="left" vertical="center" wrapText="1"/>
      <protection locked="0"/>
    </xf>
    <xf numFmtId="37" fontId="16" fillId="0" borderId="0" xfId="1" applyNumberFormat="1" applyFont="1" applyAlignment="1">
      <alignment horizontal="center" vertical="center"/>
      <protection locked="0"/>
    </xf>
    <xf numFmtId="3" fontId="16" fillId="0" borderId="0" xfId="1" applyNumberFormat="1" applyFont="1" applyAlignment="1">
      <alignment horizontal="center" vertical="center" wrapText="1"/>
      <protection locked="0"/>
    </xf>
    <xf numFmtId="0" fontId="16" fillId="0" borderId="0" xfId="1" applyFont="1" applyAlignment="1">
      <alignment horizontal="center" vertical="center" wrapText="1"/>
      <protection locked="0"/>
    </xf>
    <xf numFmtId="39" fontId="16" fillId="0" borderId="0" xfId="1" applyNumberFormat="1" applyFont="1" applyAlignment="1">
      <alignment horizontal="right" vertical="center"/>
      <protection locked="0"/>
    </xf>
    <xf numFmtId="39" fontId="20" fillId="0" borderId="0" xfId="1" applyNumberFormat="1" applyFont="1" applyAlignment="1">
      <alignment horizontal="left" wrapText="1"/>
      <protection locked="0"/>
    </xf>
    <xf numFmtId="37" fontId="18" fillId="0" borderId="2" xfId="1" applyNumberFormat="1" applyFont="1" applyBorder="1" applyAlignment="1">
      <alignment horizontal="center" vertical="center"/>
      <protection locked="0"/>
    </xf>
    <xf numFmtId="3" fontId="18" fillId="0" borderId="2" xfId="1" applyNumberFormat="1" applyFont="1" applyBorder="1" applyAlignment="1">
      <alignment horizontal="center" vertical="center" wrapText="1"/>
      <protection locked="0"/>
    </xf>
    <xf numFmtId="0" fontId="18" fillId="0" borderId="2" xfId="1" applyFont="1" applyBorder="1" applyAlignment="1">
      <alignment horizontal="left" vertical="center" wrapText="1"/>
      <protection locked="0"/>
    </xf>
    <xf numFmtId="0" fontId="18" fillId="0" borderId="2" xfId="1" applyFont="1" applyBorder="1" applyAlignment="1">
      <alignment horizontal="center" vertical="center" wrapText="1"/>
      <protection locked="0"/>
    </xf>
    <xf numFmtId="164" fontId="18" fillId="0" borderId="2" xfId="1" applyNumberFormat="1" applyFont="1" applyBorder="1" applyAlignment="1">
      <alignment horizontal="right" vertical="center"/>
      <protection locked="0"/>
    </xf>
    <xf numFmtId="39" fontId="18" fillId="0" borderId="2" xfId="1" applyNumberFormat="1" applyFont="1" applyBorder="1" applyAlignment="1">
      <alignment horizontal="right" vertical="center"/>
      <protection locked="0"/>
    </xf>
    <xf numFmtId="0" fontId="14" fillId="0" borderId="0" xfId="1" applyFont="1" applyAlignment="1">
      <alignment horizontal="center" vertical="center"/>
      <protection locked="0"/>
    </xf>
    <xf numFmtId="171" fontId="14" fillId="0" borderId="0" xfId="1" applyNumberFormat="1" applyFont="1" applyAlignment="1">
      <alignment horizontal="right"/>
      <protection locked="0"/>
    </xf>
    <xf numFmtId="0" fontId="7" fillId="0" borderId="0" xfId="1" applyFont="1" applyAlignment="1" applyProtection="1">
      <alignment horizontal="left"/>
    </xf>
    <xf numFmtId="0" fontId="20" fillId="0" borderId="0" xfId="1" applyFont="1" applyAlignment="1" applyProtection="1">
      <alignment horizontal="left"/>
    </xf>
    <xf numFmtId="0" fontId="6" fillId="0" borderId="0" xfId="1" applyFont="1" applyAlignment="1" applyProtection="1">
      <alignment horizontal="left"/>
    </xf>
    <xf numFmtId="0" fontId="17" fillId="0" borderId="0" xfId="1" applyFont="1" applyAlignment="1" applyProtection="1">
      <alignment horizontal="left"/>
    </xf>
    <xf numFmtId="0" fontId="14" fillId="0" borderId="0" xfId="1" applyFont="1" applyAlignment="1" applyProtection="1">
      <alignment horizontal="left"/>
    </xf>
    <xf numFmtId="0" fontId="14" fillId="0" borderId="11" xfId="1" applyFont="1" applyBorder="1" applyAlignment="1" applyProtection="1">
      <alignment horizontal="center" vertical="center" wrapText="1"/>
    </xf>
    <xf numFmtId="0" fontId="21" fillId="0" borderId="11" xfId="1" applyFont="1" applyBorder="1" applyAlignment="1" applyProtection="1">
      <alignment horizontal="center" vertical="center" wrapText="1"/>
    </xf>
    <xf numFmtId="37" fontId="28" fillId="0" borderId="0" xfId="1" applyNumberFormat="1" applyFont="1" applyAlignment="1">
      <alignment horizontal="center" vertical="center"/>
      <protection locked="0"/>
    </xf>
    <xf numFmtId="0" fontId="28" fillId="0" borderId="0" xfId="1" applyFont="1" applyAlignment="1">
      <alignment horizontal="center" vertical="center" wrapText="1"/>
      <protection locked="0"/>
    </xf>
    <xf numFmtId="0" fontId="28" fillId="0" borderId="0" xfId="1" applyFont="1" applyAlignment="1">
      <alignment horizontal="left" vertical="center" wrapText="1"/>
      <protection locked="0"/>
    </xf>
    <xf numFmtId="0" fontId="28" fillId="0" borderId="0" xfId="1" applyFont="1" applyAlignment="1">
      <alignment horizontal="right" vertical="center" wrapText="1"/>
      <protection locked="0"/>
    </xf>
    <xf numFmtId="39" fontId="28" fillId="0" borderId="0" xfId="1" applyNumberFormat="1" applyFont="1" applyAlignment="1">
      <alignment horizontal="right" vertical="center"/>
      <protection locked="0"/>
    </xf>
    <xf numFmtId="170" fontId="28" fillId="0" borderId="0" xfId="1" applyNumberFormat="1" applyFont="1" applyAlignment="1">
      <alignment horizontal="right" vertical="center" wrapText="1"/>
      <protection locked="0"/>
    </xf>
    <xf numFmtId="164" fontId="28" fillId="0" borderId="0" xfId="1" applyNumberFormat="1" applyFont="1" applyAlignment="1">
      <alignment horizontal="right" vertical="center"/>
      <protection locked="0"/>
    </xf>
    <xf numFmtId="0" fontId="24" fillId="2" borderId="0" xfId="0" applyFont="1" applyFill="1" applyAlignment="1">
      <alignment vertical="top" wrapText="1" indent="1"/>
    </xf>
    <xf numFmtId="0" fontId="25" fillId="2" borderId="0" xfId="0" applyFont="1" applyFill="1" applyAlignment="1">
      <alignment vertical="top" wrapText="1" indent="1"/>
    </xf>
    <xf numFmtId="0" fontId="25" fillId="2" borderId="0" xfId="0" applyFont="1" applyFill="1" applyAlignment="1">
      <alignment horizontal="right" vertical="top" wrapText="1" indent="1"/>
    </xf>
    <xf numFmtId="0" fontId="26" fillId="2" borderId="0" xfId="0" applyFont="1" applyFill="1" applyAlignment="1">
      <alignment horizontal="right" vertical="top" indent="1"/>
    </xf>
    <xf numFmtId="0" fontId="24" fillId="0" borderId="0" xfId="0" applyFont="1"/>
    <xf numFmtId="0" fontId="29" fillId="2" borderId="0" xfId="0" applyFont="1" applyFill="1" applyAlignment="1">
      <alignment vertical="top" wrapText="1" indent="1"/>
    </xf>
    <xf numFmtId="0" fontId="28" fillId="2" borderId="0" xfId="0" applyFont="1" applyFill="1" applyAlignment="1">
      <alignment vertical="top" wrapText="1" indent="1"/>
    </xf>
    <xf numFmtId="0" fontId="28" fillId="2" borderId="0" xfId="0" applyFont="1" applyFill="1" applyAlignment="1">
      <alignment horizontal="right" vertical="top" wrapText="1" indent="1"/>
    </xf>
    <xf numFmtId="0" fontId="28" fillId="2" borderId="0" xfId="0" applyFont="1" applyFill="1" applyAlignment="1">
      <alignment horizontal="left" vertical="top" wrapText="1"/>
    </xf>
    <xf numFmtId="0" fontId="28" fillId="2" borderId="0" xfId="0" applyFont="1" applyFill="1" applyAlignment="1">
      <alignment vertical="top"/>
    </xf>
    <xf numFmtId="0" fontId="32" fillId="0" borderId="1" xfId="1" applyFont="1" applyBorder="1" applyAlignment="1">
      <alignment horizontal="left" vertical="center" wrapText="1"/>
      <protection locked="0"/>
    </xf>
    <xf numFmtId="0" fontId="28" fillId="0" borderId="1" xfId="1" applyFont="1" applyBorder="1" applyAlignment="1">
      <alignment horizontal="center" vertical="center" wrapText="1"/>
      <protection locked="0"/>
    </xf>
    <xf numFmtId="164" fontId="28" fillId="0" borderId="1" xfId="1" applyNumberFormat="1" applyFont="1" applyBorder="1" applyAlignment="1">
      <alignment horizontal="right" vertical="center"/>
      <protection locked="0"/>
    </xf>
    <xf numFmtId="0" fontId="32" fillId="0" borderId="0" xfId="1" applyFont="1" applyAlignment="1">
      <alignment horizontal="left" vertical="center" wrapText="1"/>
      <protection locked="0"/>
    </xf>
    <xf numFmtId="0" fontId="28" fillId="0" borderId="0" xfId="0" applyFont="1"/>
    <xf numFmtId="0" fontId="28" fillId="0" borderId="0" xfId="0" applyFont="1" applyAlignment="1">
      <alignment horizontal="right"/>
    </xf>
    <xf numFmtId="37" fontId="28" fillId="0" borderId="1" xfId="1" applyNumberFormat="1" applyFont="1" applyBorder="1" applyAlignment="1">
      <alignment horizontal="center" vertical="center"/>
      <protection locked="0"/>
    </xf>
    <xf numFmtId="0" fontId="32" fillId="0" borderId="0" xfId="1" applyFont="1" applyAlignment="1">
      <alignment horizontal="right" vertical="center" wrapText="1"/>
      <protection locked="0"/>
    </xf>
    <xf numFmtId="164" fontId="32" fillId="0" borderId="1" xfId="1" applyNumberFormat="1" applyFont="1" applyBorder="1" applyAlignment="1">
      <alignment horizontal="right" vertical="center"/>
      <protection locked="0"/>
    </xf>
    <xf numFmtId="164" fontId="32" fillId="0" borderId="0" xfId="1" applyNumberFormat="1" applyFont="1" applyAlignment="1">
      <alignment horizontal="right" vertical="center"/>
      <protection locked="0"/>
    </xf>
    <xf numFmtId="164" fontId="28" fillId="0" borderId="0" xfId="1" applyNumberFormat="1" applyFont="1" applyAlignment="1">
      <alignment horizontal="right" vertical="center" wrapText="1"/>
      <protection locked="0"/>
    </xf>
    <xf numFmtId="0" fontId="28" fillId="0" borderId="1" xfId="2" applyFont="1" applyBorder="1" applyAlignment="1" applyProtection="1">
      <alignment horizontal="left" vertical="center" wrapText="1"/>
      <protection locked="0"/>
    </xf>
    <xf numFmtId="0" fontId="28" fillId="0" borderId="1" xfId="2" applyFont="1" applyBorder="1" applyAlignment="1" applyProtection="1">
      <alignment horizontal="center" vertical="center"/>
      <protection locked="0"/>
    </xf>
    <xf numFmtId="0" fontId="28" fillId="0" borderId="1" xfId="2" applyFont="1" applyBorder="1" applyAlignment="1" applyProtection="1">
      <alignment horizontal="right" vertical="center" wrapText="1"/>
      <protection locked="0"/>
    </xf>
    <xf numFmtId="0" fontId="28" fillId="0" borderId="1" xfId="2" applyFont="1" applyBorder="1" applyAlignment="1" applyProtection="1">
      <alignment horizontal="right" vertical="center"/>
      <protection locked="0"/>
    </xf>
    <xf numFmtId="39" fontId="28" fillId="0" borderId="1" xfId="1" applyNumberFormat="1" applyFont="1" applyBorder="1" applyAlignment="1">
      <alignment horizontal="right" vertical="center"/>
      <protection locked="0"/>
    </xf>
    <xf numFmtId="0" fontId="28" fillId="0" borderId="0" xfId="2" applyFont="1" applyAlignment="1" applyProtection="1">
      <alignment horizontal="left" vertical="center" wrapText="1"/>
      <protection locked="0"/>
    </xf>
    <xf numFmtId="0" fontId="28" fillId="0" borderId="0" xfId="2" applyFont="1" applyAlignment="1" applyProtection="1">
      <alignment horizontal="center" vertical="center"/>
      <protection locked="0"/>
    </xf>
    <xf numFmtId="0" fontId="28" fillId="0" borderId="0" xfId="2" applyFont="1" applyAlignment="1" applyProtection="1">
      <alignment horizontal="right" vertical="center" wrapText="1"/>
      <protection locked="0"/>
    </xf>
    <xf numFmtId="0" fontId="28" fillId="0" borderId="0" xfId="2" applyFont="1" applyAlignment="1" applyProtection="1">
      <alignment horizontal="right" vertical="center"/>
      <protection locked="0"/>
    </xf>
    <xf numFmtId="0" fontId="31" fillId="0" borderId="0" xfId="2" applyFont="1" applyAlignment="1" applyProtection="1">
      <alignment horizontal="left" vertical="center" wrapText="1"/>
      <protection locked="0"/>
    </xf>
    <xf numFmtId="0" fontId="31" fillId="0" borderId="0" xfId="2" applyFont="1" applyAlignment="1" applyProtection="1">
      <alignment horizontal="right" vertical="center" wrapText="1"/>
      <protection locked="0"/>
    </xf>
    <xf numFmtId="169" fontId="28" fillId="0" borderId="0" xfId="2" applyNumberFormat="1" applyFont="1" applyAlignment="1" applyProtection="1">
      <alignment horizontal="left" vertical="center" wrapText="1"/>
      <protection locked="0"/>
    </xf>
    <xf numFmtId="169" fontId="28" fillId="0" borderId="0" xfId="2" applyNumberFormat="1" applyFont="1" applyAlignment="1" applyProtection="1">
      <alignment horizontal="right" vertical="center" wrapText="1"/>
      <protection locked="0"/>
    </xf>
    <xf numFmtId="0" fontId="32" fillId="0" borderId="0" xfId="1" applyFont="1" applyAlignment="1">
      <alignment horizontal="center" vertical="center" wrapText="1"/>
      <protection locked="0"/>
    </xf>
    <xf numFmtId="39" fontId="32" fillId="0" borderId="0" xfId="1" applyNumberFormat="1" applyFont="1" applyAlignment="1">
      <alignment horizontal="right" vertical="center"/>
      <protection locked="0"/>
    </xf>
    <xf numFmtId="0" fontId="14" fillId="0" borderId="0" xfId="1" applyFont="1" applyAlignment="1" applyProtection="1">
      <alignment horizontal="center" vertical="center" wrapText="1"/>
    </xf>
    <xf numFmtId="0" fontId="14" fillId="0" borderId="0" xfId="1" applyFont="1" applyAlignment="1" applyProtection="1">
      <alignment horizontal="left" vertical="center" wrapText="1"/>
    </xf>
    <xf numFmtId="165" fontId="14" fillId="0" borderId="0" xfId="1" applyNumberFormat="1" applyFont="1" applyAlignment="1" applyProtection="1">
      <alignment horizontal="right" vertical="center"/>
    </xf>
    <xf numFmtId="2" fontId="14" fillId="0" borderId="0" xfId="1" applyNumberFormat="1" applyFont="1" applyAlignment="1" applyProtection="1">
      <alignment horizontal="right" vertical="center"/>
    </xf>
    <xf numFmtId="37" fontId="30" fillId="0" borderId="0" xfId="1" applyNumberFormat="1" applyFont="1" applyAlignment="1">
      <alignment horizontal="center" vertical="center"/>
      <protection locked="0"/>
    </xf>
    <xf numFmtId="0" fontId="30" fillId="0" borderId="0" xfId="1" applyFont="1" applyAlignment="1">
      <alignment horizontal="center" vertical="center" wrapText="1"/>
      <protection locked="0"/>
    </xf>
    <xf numFmtId="39" fontId="30" fillId="0" borderId="0" xfId="1" applyNumberFormat="1" applyFont="1" applyAlignment="1">
      <alignment horizontal="right" vertical="center"/>
      <protection locked="0"/>
    </xf>
    <xf numFmtId="37" fontId="32" fillId="0" borderId="0" xfId="1" applyNumberFormat="1" applyFont="1" applyAlignment="1">
      <alignment horizontal="center" vertical="center"/>
      <protection locked="0"/>
    </xf>
    <xf numFmtId="0" fontId="28" fillId="2" borderId="0" xfId="0" applyFont="1" applyFill="1"/>
    <xf numFmtId="0" fontId="28" fillId="2" borderId="0" xfId="0" applyFont="1" applyFill="1" applyAlignment="1">
      <alignment horizontal="left" vertical="center"/>
    </xf>
    <xf numFmtId="0" fontId="28" fillId="2" borderId="0" xfId="0" applyFont="1" applyFill="1" applyAlignment="1">
      <alignment vertical="center"/>
    </xf>
    <xf numFmtId="169" fontId="28" fillId="0" borderId="0" xfId="2" applyNumberFormat="1" applyFont="1" applyAlignment="1" applyProtection="1">
      <alignment horizontal="right" vertical="center"/>
      <protection locked="0"/>
    </xf>
    <xf numFmtId="0" fontId="14" fillId="0" borderId="11" xfId="1" applyFont="1" applyBorder="1" applyAlignment="1" applyProtection="1">
      <alignment horizontal="left" vertical="center"/>
    </xf>
    <xf numFmtId="0" fontId="14" fillId="0" borderId="4" xfId="1" applyFont="1" applyBorder="1" applyAlignment="1" applyProtection="1">
      <alignment horizontal="left" vertical="center"/>
    </xf>
    <xf numFmtId="0" fontId="14" fillId="0" borderId="23" xfId="1" applyFont="1" applyBorder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/>
    </xf>
    <xf numFmtId="49" fontId="14" fillId="0" borderId="4" xfId="1" applyNumberFormat="1" applyFont="1" applyBorder="1" applyAlignment="1" applyProtection="1">
      <alignment horizontal="left" vertical="center"/>
    </xf>
    <xf numFmtId="49" fontId="14" fillId="0" borderId="23" xfId="1" applyNumberFormat="1" applyFont="1" applyBorder="1" applyAlignment="1" applyProtection="1">
      <alignment horizontal="left" vertical="center"/>
    </xf>
    <xf numFmtId="39" fontId="14" fillId="0" borderId="0" xfId="1" applyNumberFormat="1" applyFont="1" applyAlignment="1" applyProtection="1">
      <alignment horizontal="left" vertical="center"/>
    </xf>
    <xf numFmtId="39" fontId="14" fillId="0" borderId="57" xfId="1" applyNumberFormat="1" applyFont="1" applyBorder="1" applyAlignment="1" applyProtection="1">
      <alignment horizontal="left" vertical="center"/>
    </xf>
    <xf numFmtId="0" fontId="14" fillId="0" borderId="57" xfId="1" applyFont="1" applyBorder="1" applyAlignment="1" applyProtection="1">
      <alignment horizontal="left" vertical="center"/>
    </xf>
    <xf numFmtId="0" fontId="14" fillId="0" borderId="0" xfId="1" applyFont="1" applyAlignment="1" applyProtection="1">
      <alignment horizontal="left"/>
    </xf>
    <xf numFmtId="0" fontId="0" fillId="0" borderId="0" xfId="0" applyAlignment="1">
      <alignment horizontal="left"/>
    </xf>
  </cellXfs>
  <cellStyles count="4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2B07B393-247F-4E5A-A2A7-F45B821EE989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107950</xdr:colOff>
      <xdr:row>454</xdr:row>
      <xdr:rowOff>228600</xdr:rowOff>
    </xdr:from>
    <xdr:to>
      <xdr:col>2</xdr:col>
      <xdr:colOff>889000</xdr:colOff>
      <xdr:row>454</xdr:row>
      <xdr:rowOff>1009650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E28ECAAA-3587-CF53-02CE-4091DC3CB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50" y="7708265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69851</xdr:colOff>
      <xdr:row>284</xdr:row>
      <xdr:rowOff>215900</xdr:rowOff>
    </xdr:from>
    <xdr:to>
      <xdr:col>2</xdr:col>
      <xdr:colOff>1024153</xdr:colOff>
      <xdr:row>284</xdr:row>
      <xdr:rowOff>844550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51869294-0D41-C775-1411-F5D0D917A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251" y="61550550"/>
          <a:ext cx="954302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86519</xdr:colOff>
      <xdr:row>418</xdr:row>
      <xdr:rowOff>254000</xdr:rowOff>
    </xdr:from>
    <xdr:to>
      <xdr:col>2</xdr:col>
      <xdr:colOff>612775</xdr:colOff>
      <xdr:row>418</xdr:row>
      <xdr:rowOff>1225549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6EB28889-556F-D888-5952-725052A29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919" y="95459550"/>
          <a:ext cx="526256" cy="97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showGridLines="0" tabSelected="1" workbookViewId="0">
      <pane ySplit="3" topLeftCell="A10" activePane="bottomLeft" state="frozenSplit"/>
      <selection pane="bottomLeft" activeCell="O15" sqref="O15"/>
    </sheetView>
  </sheetViews>
  <sheetFormatPr defaultColWidth="11.28515625" defaultRowHeight="11.45" customHeight="1"/>
  <cols>
    <col min="1" max="1" width="3.28515625" style="1" customWidth="1"/>
    <col min="2" max="2" width="2.7109375" style="1" customWidth="1"/>
    <col min="3" max="3" width="4.140625" style="1" customWidth="1"/>
    <col min="4" max="4" width="8.42578125" style="1" customWidth="1"/>
    <col min="5" max="5" width="32.85546875" style="1" customWidth="1"/>
    <col min="6" max="6" width="0.5703125" style="1" customWidth="1"/>
    <col min="7" max="7" width="3.42578125" style="1" customWidth="1"/>
    <col min="8" max="8" width="3.28515625" style="1" customWidth="1"/>
    <col min="9" max="9" width="13.28515625" style="1" customWidth="1"/>
    <col min="10" max="10" width="22.5703125" style="1" customWidth="1"/>
    <col min="11" max="11" width="0.7109375" style="1" customWidth="1"/>
    <col min="12" max="12" width="3.28515625" style="1" customWidth="1"/>
    <col min="13" max="13" width="5" style="1" customWidth="1"/>
    <col min="14" max="14" width="6.140625" style="1" customWidth="1"/>
    <col min="15" max="15" width="4.42578125" style="1" customWidth="1"/>
    <col min="16" max="16" width="16.42578125" style="1" customWidth="1"/>
    <col min="17" max="17" width="8" style="1" customWidth="1"/>
    <col min="18" max="18" width="32.85546875" style="1" customWidth="1"/>
    <col min="19" max="19" width="0.5703125" style="1" customWidth="1"/>
    <col min="20" max="16384" width="11.28515625" style="1"/>
  </cols>
  <sheetData>
    <row r="1" spans="1:19" ht="13.15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1:19" ht="21" customHeight="1">
      <c r="A2" s="6"/>
      <c r="B2" s="7"/>
      <c r="C2" s="7"/>
      <c r="D2" s="7"/>
      <c r="E2" s="7"/>
      <c r="F2" s="7"/>
      <c r="G2" s="8" t="s">
        <v>25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9"/>
    </row>
    <row r="3" spans="1:19" ht="13.1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7"/>
      <c r="P3" s="11"/>
      <c r="Q3" s="11"/>
      <c r="R3" s="11"/>
      <c r="S3" s="12"/>
    </row>
    <row r="4" spans="1:19" ht="9" customHeight="1" thickBot="1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13"/>
    </row>
    <row r="5" spans="1:19" ht="18" customHeight="1">
      <c r="A5" s="91"/>
      <c r="B5" s="92" t="s">
        <v>26</v>
      </c>
      <c r="C5" s="92"/>
      <c r="D5" s="92"/>
      <c r="E5" s="93" t="s">
        <v>176</v>
      </c>
      <c r="F5" s="94"/>
      <c r="G5" s="94"/>
      <c r="H5" s="94"/>
      <c r="I5" s="94"/>
      <c r="J5" s="95"/>
      <c r="K5" s="92"/>
      <c r="L5" s="92"/>
      <c r="M5" s="92"/>
      <c r="N5" s="92"/>
      <c r="O5" s="270" t="s">
        <v>27</v>
      </c>
      <c r="P5" s="270"/>
      <c r="Q5" s="96"/>
      <c r="R5" s="95"/>
      <c r="S5" s="14"/>
    </row>
    <row r="6" spans="1:19" ht="18" customHeight="1">
      <c r="A6" s="91"/>
      <c r="B6" s="92" t="s">
        <v>28</v>
      </c>
      <c r="C6" s="92"/>
      <c r="D6" s="92"/>
      <c r="E6" s="97"/>
      <c r="F6" s="92"/>
      <c r="G6" s="92"/>
      <c r="H6" s="92"/>
      <c r="I6" s="92"/>
      <c r="J6" s="98"/>
      <c r="K6" s="92"/>
      <c r="L6" s="92"/>
      <c r="M6" s="92"/>
      <c r="N6" s="92"/>
      <c r="O6" s="270" t="s">
        <v>29</v>
      </c>
      <c r="P6" s="270"/>
      <c r="Q6" s="99"/>
      <c r="R6" s="98"/>
      <c r="S6" s="14"/>
    </row>
    <row r="7" spans="1:19" ht="18" customHeight="1" thickBot="1">
      <c r="A7" s="91"/>
      <c r="B7" s="92" t="s">
        <v>30</v>
      </c>
      <c r="C7" s="92"/>
      <c r="D7" s="92"/>
      <c r="E7" s="100"/>
      <c r="F7" s="101"/>
      <c r="G7" s="101"/>
      <c r="H7" s="101"/>
      <c r="I7" s="101"/>
      <c r="J7" s="102"/>
      <c r="K7" s="92"/>
      <c r="L7" s="92"/>
      <c r="M7" s="92"/>
      <c r="N7" s="92"/>
      <c r="O7" s="270" t="s">
        <v>31</v>
      </c>
      <c r="P7" s="270"/>
      <c r="Q7" s="100"/>
      <c r="R7" s="102"/>
      <c r="S7" s="14"/>
    </row>
    <row r="8" spans="1:19" ht="18" customHeight="1" thickBot="1">
      <c r="A8" s="91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270" t="s">
        <v>32</v>
      </c>
      <c r="P8" s="270"/>
      <c r="Q8" s="92" t="s">
        <v>33</v>
      </c>
      <c r="R8" s="92"/>
      <c r="S8" s="14"/>
    </row>
    <row r="9" spans="1:19" ht="18" customHeight="1" thickBot="1">
      <c r="A9" s="91"/>
      <c r="B9" s="92" t="s">
        <v>34</v>
      </c>
      <c r="C9" s="92"/>
      <c r="D9" s="92"/>
      <c r="E9" s="96" t="s">
        <v>172</v>
      </c>
      <c r="F9" s="94"/>
      <c r="G9" s="94"/>
      <c r="H9" s="94"/>
      <c r="I9" s="94"/>
      <c r="J9" s="95"/>
      <c r="K9" s="92"/>
      <c r="L9" s="92"/>
      <c r="M9" s="92"/>
      <c r="N9" s="92"/>
      <c r="O9" s="268"/>
      <c r="P9" s="269"/>
      <c r="Q9" s="103"/>
      <c r="R9" s="104"/>
      <c r="S9" s="14"/>
    </row>
    <row r="10" spans="1:19" ht="18" customHeight="1" thickBot="1">
      <c r="A10" s="91"/>
      <c r="B10" s="92" t="s">
        <v>35</v>
      </c>
      <c r="C10" s="92"/>
      <c r="D10" s="92"/>
      <c r="E10" s="99"/>
      <c r="F10" s="92"/>
      <c r="G10" s="92"/>
      <c r="H10" s="92"/>
      <c r="I10" s="92"/>
      <c r="J10" s="98"/>
      <c r="K10" s="92"/>
      <c r="L10" s="92"/>
      <c r="M10" s="92"/>
      <c r="N10" s="92"/>
      <c r="O10" s="268"/>
      <c r="P10" s="269"/>
      <c r="Q10" s="103"/>
      <c r="R10" s="104"/>
      <c r="S10" s="14"/>
    </row>
    <row r="11" spans="1:19" ht="18" customHeight="1" thickBot="1">
      <c r="A11" s="91"/>
      <c r="B11" s="92" t="s">
        <v>36</v>
      </c>
      <c r="C11" s="92"/>
      <c r="D11" s="92"/>
      <c r="E11" s="99"/>
      <c r="F11" s="92"/>
      <c r="G11" s="92"/>
      <c r="H11" s="92"/>
      <c r="I11" s="92"/>
      <c r="J11" s="98"/>
      <c r="K11" s="92"/>
      <c r="L11" s="92"/>
      <c r="M11" s="92"/>
      <c r="N11" s="92"/>
      <c r="O11" s="268"/>
      <c r="P11" s="269"/>
      <c r="Q11" s="103"/>
      <c r="R11" s="104"/>
      <c r="S11" s="14"/>
    </row>
    <row r="12" spans="1:19" ht="18" customHeight="1" thickBot="1">
      <c r="A12" s="91"/>
      <c r="B12" s="92"/>
      <c r="C12" s="92"/>
      <c r="D12" s="92"/>
      <c r="E12" s="100"/>
      <c r="F12" s="101"/>
      <c r="G12" s="101"/>
      <c r="H12" s="101"/>
      <c r="I12" s="101"/>
      <c r="J12" s="102"/>
      <c r="K12" s="92"/>
      <c r="L12" s="92"/>
      <c r="M12" s="92"/>
      <c r="N12" s="92"/>
      <c r="O12" s="92"/>
      <c r="P12" s="92"/>
      <c r="Q12" s="92"/>
      <c r="R12" s="92"/>
      <c r="S12" s="14"/>
    </row>
    <row r="13" spans="1:19" ht="18" customHeight="1" thickBot="1">
      <c r="A13" s="91"/>
      <c r="B13" s="92"/>
      <c r="C13" s="92"/>
      <c r="D13" s="92"/>
      <c r="E13" s="92" t="s">
        <v>37</v>
      </c>
      <c r="F13" s="92"/>
      <c r="G13" s="92" t="s">
        <v>38</v>
      </c>
      <c r="H13" s="92"/>
      <c r="I13" s="92"/>
      <c r="J13" s="92"/>
      <c r="K13" s="92"/>
      <c r="L13" s="92"/>
      <c r="M13" s="92"/>
      <c r="N13" s="92"/>
      <c r="O13" s="270" t="s">
        <v>39</v>
      </c>
      <c r="P13" s="270"/>
      <c r="Q13" s="92"/>
      <c r="R13" s="92"/>
      <c r="S13" s="14"/>
    </row>
    <row r="14" spans="1:19" ht="18" customHeight="1" thickBot="1">
      <c r="A14" s="91"/>
      <c r="B14" s="92"/>
      <c r="C14" s="92"/>
      <c r="D14" s="92"/>
      <c r="E14" s="267"/>
      <c r="F14" s="92"/>
      <c r="G14" s="103"/>
      <c r="H14" s="105"/>
      <c r="I14" s="104"/>
      <c r="J14" s="92"/>
      <c r="K14" s="92"/>
      <c r="L14" s="92"/>
      <c r="M14" s="92"/>
      <c r="N14" s="92"/>
      <c r="O14" s="271"/>
      <c r="P14" s="272"/>
      <c r="Q14" s="92"/>
      <c r="R14" s="92"/>
      <c r="S14" s="14"/>
    </row>
    <row r="15" spans="1:19" ht="9" customHeight="1">
      <c r="A15" s="106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92"/>
      <c r="P15" s="107"/>
      <c r="Q15" s="107"/>
      <c r="R15" s="107"/>
      <c r="S15" s="16"/>
    </row>
    <row r="16" spans="1:19" ht="19.149999999999999" customHeight="1">
      <c r="A16" s="108"/>
      <c r="B16" s="109"/>
      <c r="C16" s="109"/>
      <c r="D16" s="109"/>
      <c r="E16" s="110" t="s">
        <v>40</v>
      </c>
      <c r="F16" s="109"/>
      <c r="G16" s="109"/>
      <c r="H16" s="109"/>
      <c r="I16" s="109"/>
      <c r="J16" s="109"/>
      <c r="K16" s="109"/>
      <c r="L16" s="109"/>
      <c r="M16" s="109"/>
      <c r="N16" s="109"/>
      <c r="O16" s="90"/>
      <c r="P16" s="109"/>
      <c r="Q16" s="109"/>
      <c r="R16" s="109"/>
      <c r="S16" s="17"/>
    </row>
    <row r="17" spans="1:19" ht="21" customHeight="1">
      <c r="A17" s="111" t="s">
        <v>41</v>
      </c>
      <c r="B17" s="112"/>
      <c r="C17" s="112"/>
      <c r="D17" s="113"/>
      <c r="E17" s="114" t="s">
        <v>42</v>
      </c>
      <c r="F17" s="113"/>
      <c r="G17" s="114" t="s">
        <v>43</v>
      </c>
      <c r="H17" s="112"/>
      <c r="I17" s="113"/>
      <c r="J17" s="114" t="s">
        <v>44</v>
      </c>
      <c r="K17" s="112"/>
      <c r="L17" s="114" t="s">
        <v>45</v>
      </c>
      <c r="M17" s="112"/>
      <c r="N17" s="112"/>
      <c r="O17" s="112"/>
      <c r="P17" s="113"/>
      <c r="Q17" s="114" t="s">
        <v>46</v>
      </c>
      <c r="R17" s="112"/>
      <c r="S17" s="18"/>
    </row>
    <row r="18" spans="1:19" ht="19.149999999999999" customHeight="1">
      <c r="A18" s="115"/>
      <c r="B18" s="116"/>
      <c r="C18" s="116"/>
      <c r="D18" s="117">
        <v>0</v>
      </c>
      <c r="E18" s="118">
        <v>0</v>
      </c>
      <c r="F18" s="119"/>
      <c r="G18" s="120"/>
      <c r="H18" s="116"/>
      <c r="I18" s="117">
        <v>0</v>
      </c>
      <c r="J18" s="118">
        <v>0</v>
      </c>
      <c r="K18" s="116"/>
      <c r="L18" s="120"/>
      <c r="M18" s="116"/>
      <c r="N18" s="116"/>
      <c r="O18" s="121"/>
      <c r="P18" s="117">
        <v>0</v>
      </c>
      <c r="Q18" s="120"/>
      <c r="R18" s="122">
        <v>0</v>
      </c>
      <c r="S18" s="19"/>
    </row>
    <row r="19" spans="1:19" ht="19.149999999999999" customHeight="1">
      <c r="A19" s="108"/>
      <c r="B19" s="109"/>
      <c r="C19" s="109"/>
      <c r="D19" s="109"/>
      <c r="E19" s="110" t="s">
        <v>47</v>
      </c>
      <c r="F19" s="109"/>
      <c r="G19" s="109"/>
      <c r="H19" s="109"/>
      <c r="I19" s="109"/>
      <c r="J19" s="123" t="s">
        <v>48</v>
      </c>
      <c r="K19" s="109"/>
      <c r="L19" s="109"/>
      <c r="M19" s="109"/>
      <c r="N19" s="109"/>
      <c r="O19" s="107"/>
      <c r="P19" s="109"/>
      <c r="Q19" s="109"/>
      <c r="R19" s="109"/>
      <c r="S19" s="17"/>
    </row>
    <row r="20" spans="1:19" ht="19.149999999999999" customHeight="1">
      <c r="A20" s="124" t="s">
        <v>49</v>
      </c>
      <c r="B20" s="125"/>
      <c r="C20" s="126" t="s">
        <v>50</v>
      </c>
      <c r="D20" s="127"/>
      <c r="E20" s="127"/>
      <c r="F20" s="128"/>
      <c r="G20" s="124" t="s">
        <v>51</v>
      </c>
      <c r="H20" s="125"/>
      <c r="I20" s="126" t="s">
        <v>52</v>
      </c>
      <c r="J20" s="127"/>
      <c r="K20" s="127"/>
      <c r="L20" s="124" t="s">
        <v>53</v>
      </c>
      <c r="M20" s="125"/>
      <c r="N20" s="126" t="s">
        <v>54</v>
      </c>
      <c r="O20" s="129"/>
      <c r="P20" s="127"/>
      <c r="Q20" s="127"/>
      <c r="R20" s="127"/>
      <c r="S20" s="20"/>
    </row>
    <row r="21" spans="1:19" ht="19.149999999999999" customHeight="1">
      <c r="A21" s="130" t="s">
        <v>2</v>
      </c>
      <c r="B21" s="131" t="s">
        <v>55</v>
      </c>
      <c r="C21" s="132"/>
      <c r="D21" s="133" t="s">
        <v>56</v>
      </c>
      <c r="E21" s="134">
        <f>'rekapitulace '!C25</f>
        <v>0</v>
      </c>
      <c r="F21" s="135"/>
      <c r="G21" s="130" t="s">
        <v>57</v>
      </c>
      <c r="H21" s="136" t="s">
        <v>58</v>
      </c>
      <c r="I21" s="137"/>
      <c r="J21" s="138">
        <v>0</v>
      </c>
      <c r="K21" s="139"/>
      <c r="L21" s="130" t="s">
        <v>59</v>
      </c>
      <c r="M21" s="136" t="s">
        <v>60</v>
      </c>
      <c r="N21" s="140"/>
      <c r="O21" s="140"/>
      <c r="P21" s="140"/>
      <c r="Q21" s="141">
        <v>0</v>
      </c>
      <c r="R21" s="134">
        <f>VRN!G10</f>
        <v>0</v>
      </c>
      <c r="S21" s="21"/>
    </row>
    <row r="22" spans="1:19" ht="19.149999999999999" customHeight="1">
      <c r="A22" s="130" t="s">
        <v>18</v>
      </c>
      <c r="B22" s="142"/>
      <c r="C22" s="143"/>
      <c r="D22" s="133" t="s">
        <v>17</v>
      </c>
      <c r="E22" s="134">
        <f>'rekapitulace '!D25</f>
        <v>0</v>
      </c>
      <c r="F22" s="135"/>
      <c r="G22" s="130" t="s">
        <v>61</v>
      </c>
      <c r="H22" s="92" t="s">
        <v>62</v>
      </c>
      <c r="I22" s="137"/>
      <c r="J22" s="138">
        <v>0</v>
      </c>
      <c r="K22" s="139"/>
      <c r="L22" s="130" t="s">
        <v>63</v>
      </c>
      <c r="M22" s="136" t="s">
        <v>64</v>
      </c>
      <c r="N22" s="140"/>
      <c r="O22" s="92"/>
      <c r="P22" s="140"/>
      <c r="Q22" s="141">
        <v>0</v>
      </c>
      <c r="R22" s="134">
        <f>VRN!G12</f>
        <v>0</v>
      </c>
      <c r="S22" s="21"/>
    </row>
    <row r="23" spans="1:19" ht="19.149999999999999" customHeight="1">
      <c r="A23" s="130" t="s">
        <v>19</v>
      </c>
      <c r="B23" s="131" t="s">
        <v>65</v>
      </c>
      <c r="C23" s="132"/>
      <c r="D23" s="133" t="s">
        <v>56</v>
      </c>
      <c r="E23" s="134">
        <v>0</v>
      </c>
      <c r="F23" s="135"/>
      <c r="G23" s="130" t="s">
        <v>66</v>
      </c>
      <c r="H23" s="136" t="s">
        <v>67</v>
      </c>
      <c r="I23" s="137"/>
      <c r="J23" s="138">
        <v>0</v>
      </c>
      <c r="K23" s="139"/>
      <c r="L23" s="130" t="s">
        <v>68</v>
      </c>
      <c r="M23" s="136" t="s">
        <v>69</v>
      </c>
      <c r="N23" s="140"/>
      <c r="O23" s="140"/>
      <c r="P23" s="140"/>
      <c r="Q23" s="141">
        <v>0</v>
      </c>
      <c r="R23" s="134">
        <v>0</v>
      </c>
      <c r="S23" s="21"/>
    </row>
    <row r="24" spans="1:19" ht="19.149999999999999" customHeight="1">
      <c r="A24" s="130" t="s">
        <v>20</v>
      </c>
      <c r="B24" s="142"/>
      <c r="C24" s="143"/>
      <c r="D24" s="133" t="s">
        <v>17</v>
      </c>
      <c r="E24" s="134">
        <v>0</v>
      </c>
      <c r="F24" s="135"/>
      <c r="G24" s="130" t="s">
        <v>70</v>
      </c>
      <c r="H24" s="136"/>
      <c r="I24" s="137"/>
      <c r="J24" s="138">
        <v>0</v>
      </c>
      <c r="K24" s="139"/>
      <c r="L24" s="130" t="s">
        <v>71</v>
      </c>
      <c r="M24" s="136" t="s">
        <v>72</v>
      </c>
      <c r="N24" s="140"/>
      <c r="O24" s="92"/>
      <c r="P24" s="140"/>
      <c r="Q24" s="141">
        <v>0</v>
      </c>
      <c r="R24" s="134">
        <f>VRN!G11</f>
        <v>0</v>
      </c>
      <c r="S24" s="21"/>
    </row>
    <row r="25" spans="1:19" ht="19.149999999999999" customHeight="1">
      <c r="A25" s="130" t="s">
        <v>21</v>
      </c>
      <c r="B25" s="131" t="s">
        <v>73</v>
      </c>
      <c r="C25" s="132"/>
      <c r="D25" s="133" t="s">
        <v>56</v>
      </c>
      <c r="E25" s="134">
        <v>0</v>
      </c>
      <c r="F25" s="135"/>
      <c r="G25" s="144"/>
      <c r="H25" s="140"/>
      <c r="I25" s="137"/>
      <c r="J25" s="138"/>
      <c r="K25" s="139"/>
      <c r="L25" s="130" t="s">
        <v>74</v>
      </c>
      <c r="M25" s="136" t="s">
        <v>75</v>
      </c>
      <c r="N25" s="140"/>
      <c r="O25" s="140"/>
      <c r="P25" s="140"/>
      <c r="Q25" s="141">
        <v>0</v>
      </c>
      <c r="R25" s="134">
        <v>0</v>
      </c>
      <c r="S25" s="21"/>
    </row>
    <row r="26" spans="1:19" ht="19.149999999999999" customHeight="1">
      <c r="A26" s="130" t="s">
        <v>22</v>
      </c>
      <c r="B26" s="142"/>
      <c r="C26" s="143"/>
      <c r="D26" s="133" t="s">
        <v>17</v>
      </c>
      <c r="E26" s="134">
        <v>0</v>
      </c>
      <c r="F26" s="135"/>
      <c r="G26" s="144"/>
      <c r="H26" s="140"/>
      <c r="I26" s="137"/>
      <c r="J26" s="138"/>
      <c r="K26" s="139"/>
      <c r="L26" s="130" t="s">
        <v>76</v>
      </c>
      <c r="M26" s="136" t="s">
        <v>77</v>
      </c>
      <c r="N26" s="140"/>
      <c r="O26" s="92"/>
      <c r="P26" s="140"/>
      <c r="Q26" s="137"/>
      <c r="R26" s="134">
        <v>0</v>
      </c>
      <c r="S26" s="21"/>
    </row>
    <row r="27" spans="1:19" ht="19.149999999999999" customHeight="1">
      <c r="A27" s="130" t="s">
        <v>23</v>
      </c>
      <c r="B27" s="145" t="s">
        <v>78</v>
      </c>
      <c r="C27" s="140"/>
      <c r="D27" s="137"/>
      <c r="E27" s="146">
        <f>SUM(E21:E26)</f>
        <v>0</v>
      </c>
      <c r="F27" s="147"/>
      <c r="G27" s="130" t="s">
        <v>79</v>
      </c>
      <c r="H27" s="145" t="s">
        <v>80</v>
      </c>
      <c r="I27" s="137"/>
      <c r="J27" s="148"/>
      <c r="K27" s="149"/>
      <c r="L27" s="130" t="s">
        <v>81</v>
      </c>
      <c r="M27" s="145" t="s">
        <v>171</v>
      </c>
      <c r="N27" s="140"/>
      <c r="O27" s="140"/>
      <c r="P27" s="140"/>
      <c r="Q27" s="137"/>
      <c r="R27" s="146">
        <f>SUM(R21:R26)</f>
        <v>0</v>
      </c>
      <c r="S27" s="17"/>
    </row>
    <row r="28" spans="1:19" ht="19.149999999999999" customHeight="1">
      <c r="A28" s="150" t="s">
        <v>82</v>
      </c>
      <c r="B28" s="151" t="s">
        <v>83</v>
      </c>
      <c r="C28" s="152"/>
      <c r="D28" s="153"/>
      <c r="E28" s="154">
        <v>0</v>
      </c>
      <c r="F28" s="155"/>
      <c r="G28" s="150" t="s">
        <v>84</v>
      </c>
      <c r="H28" s="151" t="s">
        <v>85</v>
      </c>
      <c r="I28" s="153"/>
      <c r="J28" s="156">
        <v>0</v>
      </c>
      <c r="K28" s="157"/>
      <c r="L28" s="150" t="s">
        <v>86</v>
      </c>
      <c r="M28" s="151" t="s">
        <v>87</v>
      </c>
      <c r="N28" s="152"/>
      <c r="O28" s="107"/>
      <c r="P28" s="152"/>
      <c r="Q28" s="153"/>
      <c r="R28" s="154">
        <v>0</v>
      </c>
      <c r="S28" s="16"/>
    </row>
    <row r="29" spans="1:19" ht="19.149999999999999" customHeight="1">
      <c r="A29" s="158" t="s">
        <v>35</v>
      </c>
      <c r="B29" s="90"/>
      <c r="C29" s="90"/>
      <c r="D29" s="90"/>
      <c r="E29" s="90"/>
      <c r="F29" s="159"/>
      <c r="G29" s="160"/>
      <c r="H29" s="90"/>
      <c r="I29" s="90"/>
      <c r="J29" s="90"/>
      <c r="K29" s="90"/>
      <c r="L29" s="124" t="s">
        <v>88</v>
      </c>
      <c r="M29" s="113"/>
      <c r="N29" s="126" t="s">
        <v>89</v>
      </c>
      <c r="O29" s="92"/>
      <c r="P29" s="112"/>
      <c r="Q29" s="112"/>
      <c r="R29" s="112"/>
      <c r="S29" s="18"/>
    </row>
    <row r="30" spans="1:19" ht="19.149999999999999" customHeight="1">
      <c r="A30" s="91"/>
      <c r="B30" s="92"/>
      <c r="C30" s="92"/>
      <c r="D30" s="92"/>
      <c r="E30" s="92"/>
      <c r="F30" s="161"/>
      <c r="G30" s="162"/>
      <c r="H30" s="92"/>
      <c r="I30" s="92"/>
      <c r="J30" s="92"/>
      <c r="K30" s="92"/>
      <c r="L30" s="130" t="s">
        <v>90</v>
      </c>
      <c r="M30" s="136" t="s">
        <v>91</v>
      </c>
      <c r="N30" s="140"/>
      <c r="O30" s="140"/>
      <c r="P30" s="140"/>
      <c r="Q30" s="137"/>
      <c r="R30" s="146">
        <f>E27+R27</f>
        <v>0</v>
      </c>
      <c r="S30" s="17"/>
    </row>
    <row r="31" spans="1:19" ht="19.149999999999999" customHeight="1">
      <c r="A31" s="163" t="s">
        <v>92</v>
      </c>
      <c r="B31" s="164"/>
      <c r="C31" s="164"/>
      <c r="D31" s="164"/>
      <c r="E31" s="164"/>
      <c r="F31" s="143"/>
      <c r="G31" s="165" t="s">
        <v>93</v>
      </c>
      <c r="H31" s="164"/>
      <c r="I31" s="164"/>
      <c r="J31" s="164"/>
      <c r="K31" s="164"/>
      <c r="L31" s="130" t="s">
        <v>94</v>
      </c>
      <c r="M31" s="136" t="s">
        <v>95</v>
      </c>
      <c r="N31" s="166">
        <v>5</v>
      </c>
      <c r="O31" s="92" t="s">
        <v>96</v>
      </c>
      <c r="P31" s="273">
        <v>0</v>
      </c>
      <c r="Q31" s="270"/>
      <c r="R31" s="167">
        <v>0</v>
      </c>
      <c r="S31" s="22"/>
    </row>
    <row r="32" spans="1:19" ht="19.149999999999999" customHeight="1" thickBot="1">
      <c r="A32" s="168" t="s">
        <v>34</v>
      </c>
      <c r="B32" s="169"/>
      <c r="C32" s="169"/>
      <c r="D32" s="169"/>
      <c r="E32" s="169"/>
      <c r="F32" s="132"/>
      <c r="G32" s="170"/>
      <c r="H32" s="169"/>
      <c r="I32" s="169"/>
      <c r="J32" s="169"/>
      <c r="K32" s="169"/>
      <c r="L32" s="130" t="s">
        <v>97</v>
      </c>
      <c r="M32" s="136" t="s">
        <v>95</v>
      </c>
      <c r="N32" s="166">
        <v>21</v>
      </c>
      <c r="O32" s="140" t="s">
        <v>96</v>
      </c>
      <c r="P32" s="274">
        <f>R30</f>
        <v>0</v>
      </c>
      <c r="Q32" s="275"/>
      <c r="R32" s="134">
        <f>ROUND(0.21*P32,2)</f>
        <v>0</v>
      </c>
      <c r="S32" s="21"/>
    </row>
    <row r="33" spans="1:19" ht="19.149999999999999" customHeight="1" thickBot="1">
      <c r="A33" s="91"/>
      <c r="B33" s="92"/>
      <c r="C33" s="92"/>
      <c r="D33" s="92"/>
      <c r="E33" s="92"/>
      <c r="F33" s="161"/>
      <c r="G33" s="162"/>
      <c r="H33" s="92"/>
      <c r="I33" s="92"/>
      <c r="J33" s="92"/>
      <c r="K33" s="92"/>
      <c r="L33" s="150" t="s">
        <v>98</v>
      </c>
      <c r="M33" s="171" t="s">
        <v>99</v>
      </c>
      <c r="N33" s="152"/>
      <c r="O33" s="92"/>
      <c r="P33" s="152"/>
      <c r="Q33" s="153"/>
      <c r="R33" s="172">
        <f>R30+R32</f>
        <v>0</v>
      </c>
      <c r="S33" s="15"/>
    </row>
    <row r="34" spans="1:19" ht="19.149999999999999" customHeight="1">
      <c r="A34" s="163" t="s">
        <v>92</v>
      </c>
      <c r="B34" s="164"/>
      <c r="C34" s="164"/>
      <c r="D34" s="164"/>
      <c r="E34" s="164"/>
      <c r="F34" s="143"/>
      <c r="G34" s="165" t="s">
        <v>93</v>
      </c>
      <c r="H34" s="164"/>
      <c r="I34" s="164"/>
      <c r="J34" s="164"/>
      <c r="K34" s="164"/>
      <c r="L34" s="124" t="s">
        <v>100</v>
      </c>
      <c r="M34" s="113"/>
      <c r="N34" s="126" t="s">
        <v>101</v>
      </c>
      <c r="O34" s="90"/>
      <c r="P34" s="112"/>
      <c r="Q34" s="112"/>
      <c r="R34" s="112"/>
      <c r="S34" s="18"/>
    </row>
    <row r="35" spans="1:19" ht="19.149999999999999" customHeight="1">
      <c r="A35" s="168" t="s">
        <v>36</v>
      </c>
      <c r="B35" s="169"/>
      <c r="C35" s="169"/>
      <c r="D35" s="169"/>
      <c r="E35" s="169"/>
      <c r="F35" s="132"/>
      <c r="G35" s="170"/>
      <c r="H35" s="169"/>
      <c r="I35" s="169"/>
      <c r="J35" s="169"/>
      <c r="K35" s="169"/>
      <c r="L35" s="130" t="s">
        <v>102</v>
      </c>
      <c r="M35" s="136" t="s">
        <v>103</v>
      </c>
      <c r="N35" s="140"/>
      <c r="O35" s="140"/>
      <c r="P35" s="140"/>
      <c r="Q35" s="137"/>
      <c r="R35" s="134">
        <v>0</v>
      </c>
      <c r="S35" s="21"/>
    </row>
    <row r="36" spans="1:19" ht="19.149999999999999" customHeight="1">
      <c r="A36" s="91"/>
      <c r="B36" s="92"/>
      <c r="C36" s="92"/>
      <c r="D36" s="92"/>
      <c r="E36" s="92"/>
      <c r="F36" s="161"/>
      <c r="G36" s="162"/>
      <c r="H36" s="92"/>
      <c r="I36" s="92"/>
      <c r="J36" s="92"/>
      <c r="K36" s="92"/>
      <c r="L36" s="130" t="s">
        <v>104</v>
      </c>
      <c r="M36" s="136" t="s">
        <v>105</v>
      </c>
      <c r="N36" s="140"/>
      <c r="O36" s="164"/>
      <c r="P36" s="140"/>
      <c r="Q36" s="137"/>
      <c r="R36" s="134">
        <v>0</v>
      </c>
      <c r="S36" s="21"/>
    </row>
    <row r="37" spans="1:19" ht="19.149999999999999" customHeight="1">
      <c r="A37" s="173" t="s">
        <v>92</v>
      </c>
      <c r="B37" s="107"/>
      <c r="C37" s="107"/>
      <c r="D37" s="107"/>
      <c r="E37" s="107"/>
      <c r="F37" s="174"/>
      <c r="G37" s="175" t="s">
        <v>93</v>
      </c>
      <c r="H37" s="107"/>
      <c r="I37" s="107"/>
      <c r="J37" s="107"/>
      <c r="K37" s="107"/>
      <c r="L37" s="150" t="s">
        <v>106</v>
      </c>
      <c r="M37" s="151" t="s">
        <v>107</v>
      </c>
      <c r="N37" s="152"/>
      <c r="O37" s="107"/>
      <c r="P37" s="152"/>
      <c r="Q37" s="153"/>
      <c r="R37" s="118">
        <v>0</v>
      </c>
      <c r="S37" s="23"/>
    </row>
  </sheetData>
  <mergeCells count="11">
    <mergeCell ref="O10:P10"/>
    <mergeCell ref="O5:P5"/>
    <mergeCell ref="O6:P6"/>
    <mergeCell ref="O7:P7"/>
    <mergeCell ref="O8:P8"/>
    <mergeCell ref="O9:P9"/>
    <mergeCell ref="O11:P11"/>
    <mergeCell ref="O13:P13"/>
    <mergeCell ref="O14:P14"/>
    <mergeCell ref="P31:Q31"/>
    <mergeCell ref="P32:Q32"/>
  </mergeCells>
  <pageMargins left="0.39375001192092896" right="0.39375001192092896" top="0.78750002384185791" bottom="0.78750002384185791" header="0" footer="0"/>
  <pageSetup scale="76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showGridLines="0" workbookViewId="0">
      <selection activeCell="E7" sqref="E7"/>
    </sheetView>
  </sheetViews>
  <sheetFormatPr defaultColWidth="11.42578125" defaultRowHeight="11.45" customHeight="1"/>
  <cols>
    <col min="1" max="1" width="7" style="1" customWidth="1"/>
    <col min="2" max="2" width="55.42578125" style="1" customWidth="1"/>
    <col min="3" max="3" width="22.28515625" style="1" customWidth="1"/>
    <col min="4" max="5" width="22.140625" style="1" customWidth="1"/>
    <col min="6" max="6" width="14.140625" style="1" customWidth="1"/>
    <col min="7" max="7" width="13.5703125" style="1" customWidth="1"/>
    <col min="8" max="16384" width="11.42578125" style="1"/>
  </cols>
  <sheetData>
    <row r="1" spans="1:8" ht="20.100000000000001" customHeight="1">
      <c r="A1" s="205" t="s">
        <v>14</v>
      </c>
      <c r="B1" s="86"/>
      <c r="C1" s="86"/>
      <c r="D1" s="86"/>
      <c r="E1" s="86"/>
      <c r="F1" s="86"/>
      <c r="G1" s="86"/>
    </row>
    <row r="2" spans="1:8" ht="20.100000000000001" customHeight="1">
      <c r="A2" s="206" t="s">
        <v>177</v>
      </c>
      <c r="B2" s="206"/>
      <c r="C2" s="87"/>
      <c r="D2" s="87"/>
      <c r="E2" s="87"/>
      <c r="F2" s="87"/>
      <c r="G2" s="88"/>
      <c r="H2" s="88"/>
    </row>
    <row r="3" spans="1:8" ht="20.100000000000001" customHeight="1">
      <c r="A3" s="206" t="s">
        <v>113</v>
      </c>
      <c r="B3" s="206"/>
      <c r="C3" s="87"/>
      <c r="D3" s="87"/>
      <c r="E3" s="87" t="s">
        <v>12</v>
      </c>
      <c r="F3" s="87"/>
      <c r="G3" s="88"/>
      <c r="H3" s="88"/>
    </row>
    <row r="4" spans="1:8" ht="20.100000000000001" customHeight="1">
      <c r="A4" s="206" t="s">
        <v>11</v>
      </c>
      <c r="B4" s="206"/>
      <c r="C4" s="87"/>
      <c r="D4" s="87"/>
      <c r="E4" s="87" t="s">
        <v>10</v>
      </c>
      <c r="F4" s="87"/>
      <c r="G4" s="88"/>
      <c r="H4" s="88"/>
    </row>
    <row r="5" spans="1:8" ht="20.100000000000001" customHeight="1">
      <c r="A5" s="87" t="s">
        <v>173</v>
      </c>
      <c r="B5" s="87"/>
      <c r="C5" s="87"/>
      <c r="D5" s="87" t="s">
        <v>110</v>
      </c>
      <c r="E5" s="87" t="s">
        <v>9</v>
      </c>
      <c r="F5" s="87"/>
      <c r="G5" s="88"/>
      <c r="H5" s="88"/>
    </row>
    <row r="6" spans="1:8" ht="20.100000000000001" customHeight="1" thickBot="1">
      <c r="A6" s="87" t="s">
        <v>559</v>
      </c>
      <c r="B6" s="87"/>
      <c r="C6" s="87"/>
      <c r="D6" s="87"/>
      <c r="E6" s="87" t="s">
        <v>561</v>
      </c>
      <c r="F6" s="87"/>
      <c r="G6" s="88"/>
      <c r="H6" s="88"/>
    </row>
    <row r="7" spans="1:8" ht="21.95" customHeight="1" thickBot="1">
      <c r="A7" s="211" t="s">
        <v>15</v>
      </c>
      <c r="B7" s="211" t="s">
        <v>6</v>
      </c>
      <c r="C7" s="211" t="s">
        <v>16</v>
      </c>
      <c r="D7" s="211" t="s">
        <v>17</v>
      </c>
      <c r="E7" s="211" t="s">
        <v>3</v>
      </c>
      <c r="F7" s="77"/>
    </row>
    <row r="8" spans="1:8" ht="21.95" customHeight="1" thickBot="1">
      <c r="A8" s="211" t="s">
        <v>2</v>
      </c>
      <c r="B8" s="211" t="s">
        <v>18</v>
      </c>
      <c r="C8" s="211" t="s">
        <v>19</v>
      </c>
      <c r="D8" s="211" t="s">
        <v>20</v>
      </c>
      <c r="E8" s="211" t="s">
        <v>21</v>
      </c>
      <c r="F8" s="77"/>
    </row>
    <row r="9" spans="1:8" ht="20.100000000000001" customHeight="1">
      <c r="A9" s="78"/>
      <c r="B9" s="78" t="s">
        <v>24</v>
      </c>
      <c r="C9" s="79">
        <f>C25</f>
        <v>0</v>
      </c>
      <c r="D9" s="79">
        <f>D25</f>
        <v>0</v>
      </c>
      <c r="E9" s="79">
        <f>C9+D9</f>
        <v>0</v>
      </c>
      <c r="F9" s="77"/>
    </row>
    <row r="10" spans="1:8" ht="20.100000000000001" customHeight="1">
      <c r="A10" s="80">
        <v>1</v>
      </c>
      <c r="B10" s="81" t="str">
        <f>'položkový rozpočet'!C9</f>
        <v>bourací práce</v>
      </c>
      <c r="C10" s="82">
        <v>0</v>
      </c>
      <c r="D10" s="82">
        <f>E10</f>
        <v>0</v>
      </c>
      <c r="E10" s="82">
        <f>'položkový rozpočet'!G9</f>
        <v>0</v>
      </c>
      <c r="F10" s="77"/>
    </row>
    <row r="11" spans="1:8" ht="20.100000000000001" customHeight="1">
      <c r="A11" s="80">
        <v>2</v>
      </c>
      <c r="B11" s="81" t="str">
        <f>'položkový rozpočet'!C106</f>
        <v>sanace</v>
      </c>
      <c r="C11" s="82">
        <v>0</v>
      </c>
      <c r="D11" s="82">
        <f>E11</f>
        <v>0</v>
      </c>
      <c r="E11" s="82">
        <f>'položkový rozpočet'!G106</f>
        <v>0</v>
      </c>
      <c r="F11" s="83"/>
    </row>
    <row r="12" spans="1:8" ht="20.100000000000001" customHeight="1">
      <c r="A12" s="80">
        <v>3</v>
      </c>
      <c r="B12" s="81" t="str">
        <f>'položkový rozpočet'!C112</f>
        <v xml:space="preserve">svislé konstrukce </v>
      </c>
      <c r="C12" s="82">
        <v>0</v>
      </c>
      <c r="D12" s="82">
        <f>E12-C12</f>
        <v>0</v>
      </c>
      <c r="E12" s="82">
        <f>'položkový rozpočet'!G112</f>
        <v>0</v>
      </c>
      <c r="F12" s="83"/>
    </row>
    <row r="13" spans="1:8" ht="20.100000000000001" customHeight="1">
      <c r="A13" s="80">
        <v>4</v>
      </c>
      <c r="B13" s="81" t="str">
        <f>'položkový rozpočet'!C116</f>
        <v xml:space="preserve">úprava povrchů vnitřních </v>
      </c>
      <c r="C13" s="82">
        <v>0</v>
      </c>
      <c r="D13" s="82">
        <f>E13-C13</f>
        <v>0</v>
      </c>
      <c r="E13" s="82">
        <f>'položkový rozpočet'!G116</f>
        <v>0</v>
      </c>
      <c r="F13" s="83"/>
    </row>
    <row r="14" spans="1:8" ht="20.100000000000001" customHeight="1">
      <c r="A14" s="80">
        <v>5</v>
      </c>
      <c r="B14" s="81" t="str">
        <f>'položkový rozpočet'!C122</f>
        <v xml:space="preserve">úprava povrchů vnějších </v>
      </c>
      <c r="C14" s="82">
        <f>'položkový rozpočet'!G218</f>
        <v>0</v>
      </c>
      <c r="D14" s="82">
        <f>E14-C14</f>
        <v>0</v>
      </c>
      <c r="E14" s="82">
        <f>'položkový rozpočet'!G122</f>
        <v>0</v>
      </c>
      <c r="F14" s="83"/>
    </row>
    <row r="15" spans="1:8" ht="20.100000000000001" customHeight="1">
      <c r="A15" s="80">
        <v>6</v>
      </c>
      <c r="B15" s="81" t="s">
        <v>524</v>
      </c>
      <c r="C15" s="82">
        <f>'položkový rozpočet'!G271+'položkový rozpočet'!G275</f>
        <v>0</v>
      </c>
      <c r="D15" s="82">
        <f>E15-C15</f>
        <v>0</v>
      </c>
      <c r="E15" s="82">
        <f>'položkový rozpočet'!G246</f>
        <v>0</v>
      </c>
      <c r="F15" s="83"/>
    </row>
    <row r="16" spans="1:8" ht="20.100000000000001" customHeight="1">
      <c r="A16" s="80">
        <v>7</v>
      </c>
      <c r="B16" s="81" t="str">
        <f>'položkový rozpočet'!C282</f>
        <v xml:space="preserve">osazování výplní otvorů </v>
      </c>
      <c r="C16" s="82">
        <f>'položkový rozpočet'!G285</f>
        <v>0</v>
      </c>
      <c r="D16" s="82">
        <f>E16-C16</f>
        <v>0</v>
      </c>
      <c r="E16" s="82">
        <f>'položkový rozpočet'!G282</f>
        <v>0</v>
      </c>
      <c r="F16" s="83"/>
    </row>
    <row r="17" spans="1:6" ht="20.100000000000001" customHeight="1">
      <c r="A17" s="80">
        <v>8</v>
      </c>
      <c r="B17" s="81" t="str">
        <f>'položkový rozpočet'!C289</f>
        <v xml:space="preserve">lešení </v>
      </c>
      <c r="C17" s="82">
        <v>0</v>
      </c>
      <c r="D17" s="82">
        <f>E17</f>
        <v>0</v>
      </c>
      <c r="E17" s="82">
        <f>'položkový rozpočet'!G289</f>
        <v>0</v>
      </c>
      <c r="F17" s="83"/>
    </row>
    <row r="18" spans="1:6" ht="20.100000000000001" customHeight="1">
      <c r="A18" s="80">
        <v>9</v>
      </c>
      <c r="B18" s="81" t="str">
        <f>'položkový rozpočet'!C305</f>
        <v xml:space="preserve">přesun hmot </v>
      </c>
      <c r="C18" s="82">
        <v>0</v>
      </c>
      <c r="D18" s="82">
        <f>E18</f>
        <v>0</v>
      </c>
      <c r="E18" s="82">
        <f>'položkový rozpočet'!G305</f>
        <v>0</v>
      </c>
      <c r="F18" s="83"/>
    </row>
    <row r="19" spans="1:6" ht="20.100000000000001" customHeight="1">
      <c r="A19" s="80">
        <v>10</v>
      </c>
      <c r="B19" s="196" t="str">
        <f>'položkový rozpočet'!C308</f>
        <v>tesařské konstrukce</v>
      </c>
      <c r="C19" s="82">
        <f>'položkový rozpočet'!G311+'položkový rozpočet'!G315+'položkový rozpočet'!G319</f>
        <v>0</v>
      </c>
      <c r="D19" s="82">
        <f>E19-C19</f>
        <v>0</v>
      </c>
      <c r="E19" s="82">
        <f>'položkový rozpočet'!G308</f>
        <v>0</v>
      </c>
      <c r="F19" s="83"/>
    </row>
    <row r="20" spans="1:6" ht="20.100000000000001" customHeight="1">
      <c r="A20" s="80">
        <v>11</v>
      </c>
      <c r="B20" s="81" t="str">
        <f>'položkový rozpočet'!C325</f>
        <v xml:space="preserve">klempířské konstrukce </v>
      </c>
      <c r="C20" s="82">
        <v>0</v>
      </c>
      <c r="D20" s="82">
        <f>E20</f>
        <v>0</v>
      </c>
      <c r="E20" s="82">
        <f>'položkový rozpočet'!G325</f>
        <v>0</v>
      </c>
      <c r="F20" s="83"/>
    </row>
    <row r="21" spans="1:6" ht="20.100000000000001" customHeight="1">
      <c r="A21" s="80">
        <v>12</v>
      </c>
      <c r="B21" s="81" t="str">
        <f>'položkový rozpočet'!C389</f>
        <v xml:space="preserve">pokrývačské práce </v>
      </c>
      <c r="C21" s="82">
        <v>0</v>
      </c>
      <c r="D21" s="82">
        <f>E21</f>
        <v>0</v>
      </c>
      <c r="E21" s="82">
        <f>'položkový rozpočet'!G389</f>
        <v>0</v>
      </c>
      <c r="F21" s="83"/>
    </row>
    <row r="22" spans="1:6" ht="20.100000000000001" customHeight="1">
      <c r="A22" s="80">
        <v>13</v>
      </c>
      <c r="B22" s="81" t="str">
        <f>'položkový rozpočet'!C412</f>
        <v>truhlářské konstrukce</v>
      </c>
      <c r="C22" s="82">
        <f>'položkový rozpočet'!G415+'položkový rozpočet'!G423+'položkový rozpočet'!G425</f>
        <v>0</v>
      </c>
      <c r="D22" s="82">
        <f>E22-C22</f>
        <v>0</v>
      </c>
      <c r="E22" s="82">
        <f>'položkový rozpočet'!G412</f>
        <v>0</v>
      </c>
      <c r="F22" s="83"/>
    </row>
    <row r="23" spans="1:6" ht="20.100000000000001" customHeight="1">
      <c r="A23" s="80">
        <v>14</v>
      </c>
      <c r="B23" s="81" t="str">
        <f>'položkový rozpočet'!C429</f>
        <v xml:space="preserve">zámečnické konstrukce </v>
      </c>
      <c r="C23" s="82">
        <f>'položkový rozpočet'!G432+'položkový rozpočet'!G440</f>
        <v>0</v>
      </c>
      <c r="D23" s="82">
        <f>E23-C23</f>
        <v>0</v>
      </c>
      <c r="E23" s="82">
        <f>'položkový rozpočet'!G429</f>
        <v>0</v>
      </c>
      <c r="F23" s="83"/>
    </row>
    <row r="24" spans="1:6" ht="20.100000000000001" customHeight="1">
      <c r="A24" s="80">
        <v>15</v>
      </c>
      <c r="B24" s="81" t="str">
        <f>'položkový rozpočet'!C444</f>
        <v xml:space="preserve">ostatní konstrukce </v>
      </c>
      <c r="C24" s="82">
        <f>'položkový rozpočet'!G455</f>
        <v>0</v>
      </c>
      <c r="D24" s="82">
        <f>E24-C24</f>
        <v>0</v>
      </c>
      <c r="E24" s="82">
        <f>'položkový rozpočet'!G444</f>
        <v>0</v>
      </c>
      <c r="F24" s="83"/>
    </row>
    <row r="25" spans="1:6" ht="20.100000000000001" customHeight="1">
      <c r="A25" s="84"/>
      <c r="B25" s="84" t="s">
        <v>1</v>
      </c>
      <c r="C25" s="85">
        <f>SUM(C10:C24)</f>
        <v>0</v>
      </c>
      <c r="D25" s="85">
        <f>SUM(D10:D24)</f>
        <v>0</v>
      </c>
      <c r="E25" s="85">
        <f>SUM(E10:E24)</f>
        <v>0</v>
      </c>
      <c r="F25" s="83"/>
    </row>
    <row r="26" spans="1:6" ht="20.100000000000001" customHeight="1">
      <c r="A26" s="77"/>
      <c r="B26" s="77"/>
      <c r="C26" s="83"/>
      <c r="D26" s="77"/>
      <c r="E26" s="77"/>
      <c r="F26" s="77"/>
    </row>
    <row r="27" spans="1:6" ht="21.95" customHeight="1">
      <c r="A27" s="77"/>
      <c r="B27" s="77"/>
      <c r="C27" s="83"/>
      <c r="D27" s="77"/>
      <c r="E27" s="77"/>
      <c r="F27" s="77"/>
    </row>
    <row r="32" spans="1:6" ht="11.45" customHeight="1">
      <c r="E32" s="2"/>
    </row>
  </sheetData>
  <pageMargins left="0.39370078740157483" right="0.39370078740157483" top="0.78740157480314965" bottom="0.78740157480314965" header="0" footer="0"/>
  <pageSetup fitToHeight="100" orientation="landscape" blackAndWhite="1" horizontalDpi="300" verticalDpi="300" r:id="rId1"/>
  <headerFooter alignWithMargins="0">
    <oddHeader xml:space="preserve">&amp;COprava fasády a výměna střešní krytiny objektu "P" Nemocnice Děčín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84"/>
  <sheetViews>
    <sheetView showGridLines="0" zoomScale="150" zoomScaleNormal="150" workbookViewId="0">
      <selection activeCell="A7" sqref="A7"/>
    </sheetView>
  </sheetViews>
  <sheetFormatPr defaultColWidth="11.42578125" defaultRowHeight="9.6" customHeight="1"/>
  <cols>
    <col min="1" max="1" width="4.7109375" style="1" customWidth="1"/>
    <col min="2" max="2" width="16.5703125" style="1" customWidth="1"/>
    <col min="3" max="3" width="70.85546875" style="1" customWidth="1"/>
    <col min="4" max="4" width="4.7109375" style="1" customWidth="1"/>
    <col min="5" max="5" width="11.7109375" style="1" customWidth="1"/>
    <col min="6" max="6" width="10.85546875" style="1" customWidth="1"/>
    <col min="7" max="7" width="12.7109375" style="1" customWidth="1"/>
    <col min="8" max="8" width="13" style="1" hidden="1" customWidth="1"/>
    <col min="9" max="9" width="12.42578125" style="1" hidden="1" customWidth="1"/>
    <col min="10" max="10" width="42.85546875" style="1" customWidth="1"/>
    <col min="11" max="16384" width="11.42578125" style="1"/>
  </cols>
  <sheetData>
    <row r="1" spans="1:10" ht="15" customHeight="1">
      <c r="A1" s="207" t="s">
        <v>13</v>
      </c>
      <c r="B1" s="88"/>
      <c r="C1" s="88"/>
      <c r="D1" s="88"/>
      <c r="E1" s="88"/>
      <c r="F1" s="88"/>
      <c r="G1" s="88"/>
    </row>
    <row r="2" spans="1:10" ht="21.95" customHeight="1">
      <c r="A2" s="208" t="s">
        <v>175</v>
      </c>
      <c r="B2" s="209"/>
      <c r="C2" s="209"/>
      <c r="D2" s="209"/>
      <c r="E2" s="209"/>
      <c r="F2" s="209"/>
      <c r="G2" s="209"/>
      <c r="H2" s="24"/>
      <c r="I2" s="24"/>
      <c r="J2" s="24"/>
    </row>
    <row r="3" spans="1:10" ht="21.95" customHeight="1">
      <c r="A3" s="208" t="s">
        <v>113</v>
      </c>
      <c r="B3" s="209"/>
      <c r="C3" s="209"/>
      <c r="D3" s="209"/>
      <c r="E3" s="209" t="s">
        <v>12</v>
      </c>
      <c r="F3" s="209"/>
      <c r="G3" s="209"/>
      <c r="H3" s="24"/>
      <c r="I3" s="24"/>
      <c r="J3" s="24"/>
    </row>
    <row r="4" spans="1:10" ht="21.95" customHeight="1">
      <c r="A4" s="208" t="s">
        <v>11</v>
      </c>
      <c r="B4" s="209"/>
      <c r="C4" s="209"/>
      <c r="D4" s="209"/>
      <c r="E4" s="209" t="s">
        <v>10</v>
      </c>
      <c r="F4" s="209"/>
      <c r="G4" s="209"/>
      <c r="H4" s="24"/>
      <c r="I4" s="24"/>
      <c r="J4" s="24"/>
    </row>
    <row r="5" spans="1:10" ht="21.95" customHeight="1">
      <c r="A5" s="276" t="s">
        <v>173</v>
      </c>
      <c r="B5" s="277"/>
      <c r="C5" s="277"/>
      <c r="D5" s="209"/>
      <c r="E5" s="209" t="s">
        <v>9</v>
      </c>
      <c r="F5" s="209"/>
      <c r="G5" s="209"/>
      <c r="H5" s="24"/>
      <c r="I5" s="24"/>
      <c r="J5" s="24"/>
    </row>
    <row r="6" spans="1:10" ht="21.95" customHeight="1" thickBot="1">
      <c r="A6" s="209" t="s">
        <v>560</v>
      </c>
      <c r="B6" s="209"/>
      <c r="C6" s="209"/>
      <c r="D6" s="209"/>
      <c r="E6" s="209" t="s">
        <v>557</v>
      </c>
      <c r="F6" s="209"/>
      <c r="G6" s="209"/>
      <c r="H6" s="24"/>
      <c r="I6" s="24"/>
      <c r="J6" s="24"/>
    </row>
    <row r="7" spans="1:10" ht="26.25" customHeight="1" thickBot="1">
      <c r="A7" s="210" t="s">
        <v>8</v>
      </c>
      <c r="B7" s="210" t="s">
        <v>7</v>
      </c>
      <c r="C7" s="210" t="s">
        <v>6</v>
      </c>
      <c r="D7" s="210" t="s">
        <v>5</v>
      </c>
      <c r="E7" s="210" t="s">
        <v>4</v>
      </c>
      <c r="F7" s="210"/>
      <c r="G7" s="210" t="s">
        <v>3</v>
      </c>
      <c r="H7" s="24"/>
      <c r="I7" s="24"/>
      <c r="J7" s="24"/>
    </row>
    <row r="8" spans="1:10" ht="21.95" customHeight="1" thickBot="1">
      <c r="A8" s="210" t="s">
        <v>2</v>
      </c>
      <c r="B8" s="210">
        <v>2</v>
      </c>
      <c r="C8" s="210">
        <v>3</v>
      </c>
      <c r="D8" s="210">
        <v>4</v>
      </c>
      <c r="E8" s="210">
        <v>5</v>
      </c>
      <c r="F8" s="210"/>
      <c r="G8" s="210">
        <v>7</v>
      </c>
      <c r="H8" s="24"/>
      <c r="I8" s="24"/>
      <c r="J8" s="24"/>
    </row>
    <row r="9" spans="1:10" ht="20.100000000000001" customHeight="1" thickBot="1">
      <c r="A9" s="41"/>
      <c r="B9" s="42">
        <v>1</v>
      </c>
      <c r="C9" s="43" t="s">
        <v>119</v>
      </c>
      <c r="D9" s="43"/>
      <c r="E9" s="44"/>
      <c r="F9" s="45"/>
      <c r="G9" s="45">
        <f>SUM(G10:G104)</f>
        <v>0</v>
      </c>
      <c r="H9" s="24"/>
      <c r="I9" s="24"/>
      <c r="J9" s="24"/>
    </row>
    <row r="10" spans="1:10" ht="20.100000000000001" customHeight="1" thickBot="1">
      <c r="A10" s="46">
        <v>1</v>
      </c>
      <c r="B10" s="47">
        <v>962042334</v>
      </c>
      <c r="C10" s="48" t="s">
        <v>186</v>
      </c>
      <c r="D10" s="47" t="s">
        <v>118</v>
      </c>
      <c r="E10" s="49">
        <f>SUM(E11:E11)</f>
        <v>0.29483999999999999</v>
      </c>
      <c r="F10" s="50"/>
      <c r="G10" s="51">
        <f>ROUND(E10*F10,2)</f>
        <v>0</v>
      </c>
      <c r="H10" s="27">
        <v>2.2000000000000002</v>
      </c>
      <c r="I10" s="177">
        <f>E10*H10</f>
        <v>0.648648</v>
      </c>
      <c r="J10" s="24"/>
    </row>
    <row r="11" spans="1:10" ht="20.100000000000001" customHeight="1" thickBot="1">
      <c r="A11" s="212"/>
      <c r="B11" s="213"/>
      <c r="C11" s="214" t="s">
        <v>187</v>
      </c>
      <c r="D11" s="213"/>
      <c r="E11" s="215">
        <f>0.13*0.18*0.63*20</f>
        <v>0.29483999999999999</v>
      </c>
      <c r="F11" s="216"/>
      <c r="G11" s="216"/>
      <c r="H11" s="27"/>
      <c r="I11" s="27"/>
      <c r="J11" s="24"/>
    </row>
    <row r="12" spans="1:10" ht="20.100000000000001" customHeight="1" thickBot="1">
      <c r="A12" s="46">
        <v>2</v>
      </c>
      <c r="B12" s="47">
        <v>962042320</v>
      </c>
      <c r="C12" s="48" t="s">
        <v>188</v>
      </c>
      <c r="D12" s="47" t="s">
        <v>118</v>
      </c>
      <c r="E12" s="49">
        <f>SUM(E13:E14)</f>
        <v>0.36404999999999998</v>
      </c>
      <c r="F12" s="50"/>
      <c r="G12" s="51">
        <f>ROUND(E12*F12,2)</f>
        <v>0</v>
      </c>
      <c r="H12" s="27">
        <v>2.2000000000000002</v>
      </c>
      <c r="I12" s="177">
        <f>E12*H12</f>
        <v>0.80091000000000001</v>
      </c>
      <c r="J12" s="24"/>
    </row>
    <row r="13" spans="1:10" ht="20.100000000000001" customHeight="1">
      <c r="A13" s="212"/>
      <c r="B13" s="213"/>
      <c r="C13" s="214" t="s">
        <v>189</v>
      </c>
      <c r="D13" s="213"/>
      <c r="E13" s="217">
        <f>0.4*0.63*0.2*2</f>
        <v>0.1008</v>
      </c>
      <c r="F13" s="216"/>
      <c r="G13" s="216"/>
      <c r="H13" s="27"/>
      <c r="I13" s="177"/>
      <c r="J13" s="24"/>
    </row>
    <row r="14" spans="1:10" ht="20.100000000000001" customHeight="1" thickBot="1">
      <c r="A14" s="212"/>
      <c r="B14" s="213"/>
      <c r="C14" s="214" t="s">
        <v>190</v>
      </c>
      <c r="D14" s="213"/>
      <c r="E14" s="217">
        <f>6.75*0.3*0.13</f>
        <v>0.26324999999999998</v>
      </c>
      <c r="F14" s="216"/>
      <c r="G14" s="216"/>
      <c r="H14" s="27"/>
      <c r="I14" s="177"/>
      <c r="J14" s="24"/>
    </row>
    <row r="15" spans="1:10" ht="20.100000000000001" customHeight="1" thickBot="1">
      <c r="A15" s="46">
        <v>3</v>
      </c>
      <c r="B15" s="47">
        <v>968082017</v>
      </c>
      <c r="C15" s="48" t="s">
        <v>191</v>
      </c>
      <c r="D15" s="47" t="s">
        <v>108</v>
      </c>
      <c r="E15" s="49">
        <f>SUM(E16:E16)</f>
        <v>2.4272</v>
      </c>
      <c r="F15" s="50"/>
      <c r="G15" s="51">
        <f>ROUND(E15*F15,2)</f>
        <v>0</v>
      </c>
      <c r="H15" s="27">
        <v>5.0999999999999997E-2</v>
      </c>
      <c r="I15" s="177">
        <f>E15*H15</f>
        <v>0.1237872</v>
      </c>
      <c r="J15" s="24"/>
    </row>
    <row r="16" spans="1:10" s="28" customFormat="1" ht="20.100000000000001" customHeight="1" thickBot="1">
      <c r="A16" s="212"/>
      <c r="B16" s="213"/>
      <c r="C16" s="214" t="s">
        <v>192</v>
      </c>
      <c r="D16" s="213"/>
      <c r="E16" s="217">
        <f>1.48*1.64</f>
        <v>2.4272</v>
      </c>
      <c r="F16" s="216"/>
      <c r="G16" s="216"/>
      <c r="H16" s="27"/>
      <c r="I16" s="177"/>
      <c r="J16" s="24"/>
    </row>
    <row r="17" spans="1:10" ht="20.100000000000001" customHeight="1" thickBot="1">
      <c r="A17" s="46">
        <v>4</v>
      </c>
      <c r="B17" s="47">
        <v>965042241</v>
      </c>
      <c r="C17" s="48" t="s">
        <v>193</v>
      </c>
      <c r="D17" s="47" t="s">
        <v>118</v>
      </c>
      <c r="E17" s="49">
        <f>SUM(E18:E19)</f>
        <v>1.9500000000000002</v>
      </c>
      <c r="F17" s="50"/>
      <c r="G17" s="51">
        <f>ROUND(E17*F17,2)</f>
        <v>0</v>
      </c>
      <c r="H17" s="27">
        <v>2.2000000000000002</v>
      </c>
      <c r="I17" s="177">
        <f>E17*H17</f>
        <v>4.2900000000000009</v>
      </c>
      <c r="J17" s="24"/>
    </row>
    <row r="18" spans="1:10" ht="20.100000000000001" customHeight="1">
      <c r="A18" s="212"/>
      <c r="B18" s="213"/>
      <c r="C18" s="214" t="s">
        <v>195</v>
      </c>
      <c r="D18" s="213"/>
      <c r="E18" s="217">
        <f>6*0.2</f>
        <v>1.2000000000000002</v>
      </c>
      <c r="F18" s="216"/>
      <c r="G18" s="216"/>
      <c r="H18" s="27"/>
      <c r="I18" s="177"/>
      <c r="J18" s="24"/>
    </row>
    <row r="19" spans="1:10" ht="20.100000000000001" customHeight="1" thickBot="1">
      <c r="A19" s="212"/>
      <c r="B19" s="213"/>
      <c r="C19" s="214" t="s">
        <v>194</v>
      </c>
      <c r="D19" s="213"/>
      <c r="E19" s="217">
        <f>5*0.15</f>
        <v>0.75</v>
      </c>
      <c r="F19" s="216"/>
      <c r="G19" s="216"/>
      <c r="H19" s="27"/>
      <c r="I19" s="177"/>
      <c r="J19" s="24"/>
    </row>
    <row r="20" spans="1:10" ht="20.100000000000001" customHeight="1" thickBot="1">
      <c r="A20" s="46">
        <v>5</v>
      </c>
      <c r="B20" s="47">
        <v>965042131</v>
      </c>
      <c r="C20" s="48" t="s">
        <v>196</v>
      </c>
      <c r="D20" s="47" t="s">
        <v>118</v>
      </c>
      <c r="E20" s="49">
        <f>E21</f>
        <v>0.24</v>
      </c>
      <c r="F20" s="50"/>
      <c r="G20" s="51">
        <f>ROUND(E20*F20,2)</f>
        <v>0</v>
      </c>
      <c r="H20" s="27">
        <v>2.2000000000000002</v>
      </c>
      <c r="I20" s="177">
        <f>E20*H20</f>
        <v>0.52800000000000002</v>
      </c>
      <c r="J20" s="24"/>
    </row>
    <row r="21" spans="1:10" ht="20.100000000000001" customHeight="1" thickBot="1">
      <c r="A21" s="212"/>
      <c r="B21" s="213"/>
      <c r="C21" s="214" t="s">
        <v>492</v>
      </c>
      <c r="D21" s="213"/>
      <c r="E21" s="218">
        <f>3*0.08</f>
        <v>0.24</v>
      </c>
      <c r="F21" s="216"/>
      <c r="G21" s="216"/>
      <c r="H21" s="27"/>
      <c r="I21" s="177"/>
      <c r="J21" s="24"/>
    </row>
    <row r="22" spans="1:10" ht="20.100000000000001" customHeight="1" thickBot="1">
      <c r="A22" s="46">
        <v>6</v>
      </c>
      <c r="B22" s="47">
        <v>767161833</v>
      </c>
      <c r="C22" s="48" t="s">
        <v>197</v>
      </c>
      <c r="D22" s="47" t="s">
        <v>126</v>
      </c>
      <c r="E22" s="49">
        <f>E23+E24</f>
        <v>9.24</v>
      </c>
      <c r="F22" s="50"/>
      <c r="G22" s="51">
        <f>ROUND(E22*F22,2)</f>
        <v>0</v>
      </c>
      <c r="H22" s="27">
        <v>1.6E-2</v>
      </c>
      <c r="I22" s="177">
        <f>E22*H22</f>
        <v>0.14784</v>
      </c>
      <c r="J22" s="24"/>
    </row>
    <row r="23" spans="1:10" ht="20.100000000000001" customHeight="1">
      <c r="A23" s="212"/>
      <c r="B23" s="213"/>
      <c r="C23" s="214" t="s">
        <v>199</v>
      </c>
      <c r="D23" s="213"/>
      <c r="E23" s="218">
        <f>2.66+2.18</f>
        <v>4.84</v>
      </c>
      <c r="F23" s="216"/>
      <c r="G23" s="216"/>
      <c r="H23" s="27"/>
      <c r="I23" s="177"/>
      <c r="J23" s="24"/>
    </row>
    <row r="24" spans="1:10" ht="20.100000000000001" customHeight="1" thickBot="1">
      <c r="A24" s="212"/>
      <c r="B24" s="213"/>
      <c r="C24" s="214" t="s">
        <v>200</v>
      </c>
      <c r="D24" s="213"/>
      <c r="E24" s="218">
        <v>4.4000000000000004</v>
      </c>
      <c r="F24" s="216"/>
      <c r="G24" s="216"/>
      <c r="H24" s="27"/>
      <c r="I24" s="177"/>
      <c r="J24" s="24"/>
    </row>
    <row r="25" spans="1:10" ht="20.100000000000001" customHeight="1" thickBot="1">
      <c r="A25" s="46">
        <v>7</v>
      </c>
      <c r="B25" s="47">
        <v>767161870</v>
      </c>
      <c r="C25" s="48" t="s">
        <v>202</v>
      </c>
      <c r="D25" s="47" t="s">
        <v>126</v>
      </c>
      <c r="E25" s="49">
        <v>3.5</v>
      </c>
      <c r="F25" s="50"/>
      <c r="G25" s="51">
        <f>ROUND(E25*F25,2)</f>
        <v>0</v>
      </c>
      <c r="H25" s="27">
        <v>1.6E-2</v>
      </c>
      <c r="I25" s="177">
        <f>E25*H25</f>
        <v>5.6000000000000001E-2</v>
      </c>
      <c r="J25" s="24"/>
    </row>
    <row r="26" spans="1:10" ht="20.100000000000001" customHeight="1" thickBot="1">
      <c r="A26" s="212"/>
      <c r="B26" s="213"/>
      <c r="C26" s="214" t="s">
        <v>201</v>
      </c>
      <c r="D26" s="213"/>
      <c r="E26" s="217"/>
      <c r="F26" s="216"/>
      <c r="G26" s="216"/>
      <c r="H26" s="27"/>
      <c r="I26" s="177"/>
      <c r="J26" s="24"/>
    </row>
    <row r="27" spans="1:10" ht="20.100000000000001" customHeight="1" thickBot="1">
      <c r="A27" s="46">
        <v>8</v>
      </c>
      <c r="B27" s="47">
        <v>764002851</v>
      </c>
      <c r="C27" s="48" t="s">
        <v>203</v>
      </c>
      <c r="D27" s="47" t="s">
        <v>126</v>
      </c>
      <c r="E27" s="49">
        <f>SUM(E28:E31)</f>
        <v>19.850000000000001</v>
      </c>
      <c r="F27" s="50"/>
      <c r="G27" s="51">
        <f>ROUND(E27*F27,2)</f>
        <v>0</v>
      </c>
      <c r="H27" s="27">
        <v>1.67E-3</v>
      </c>
      <c r="I27" s="177">
        <f>E27*H27</f>
        <v>3.3149500000000005E-2</v>
      </c>
      <c r="J27" s="24"/>
    </row>
    <row r="28" spans="1:10" ht="20.100000000000001" customHeight="1">
      <c r="A28" s="212"/>
      <c r="B28" s="213"/>
      <c r="C28" s="214" t="s">
        <v>204</v>
      </c>
      <c r="D28" s="213"/>
      <c r="E28" s="217">
        <f>1.3*4+1.3*4</f>
        <v>10.4</v>
      </c>
      <c r="F28" s="216"/>
      <c r="G28" s="216"/>
      <c r="H28" s="27"/>
      <c r="I28" s="177"/>
      <c r="J28" s="24"/>
    </row>
    <row r="29" spans="1:10" ht="20.100000000000001" customHeight="1">
      <c r="A29" s="212"/>
      <c r="B29" s="213"/>
      <c r="C29" s="214" t="s">
        <v>205</v>
      </c>
      <c r="D29" s="213"/>
      <c r="E29" s="217">
        <f>0.6+0.6</f>
        <v>1.2</v>
      </c>
      <c r="F29" s="216"/>
      <c r="G29" s="216"/>
      <c r="H29" s="27"/>
      <c r="I29" s="177"/>
      <c r="J29" s="24"/>
    </row>
    <row r="30" spans="1:10" ht="20.100000000000001" customHeight="1">
      <c r="A30" s="212"/>
      <c r="B30" s="213"/>
      <c r="C30" s="214" t="s">
        <v>206</v>
      </c>
      <c r="D30" s="213"/>
      <c r="E30" s="217">
        <f>1.3+1.1+1.1+0.85+0.5+2.1</f>
        <v>6.9500000000000011</v>
      </c>
      <c r="F30" s="216"/>
      <c r="G30" s="216"/>
      <c r="H30" s="27"/>
      <c r="I30" s="177"/>
      <c r="J30" s="24"/>
    </row>
    <row r="31" spans="1:10" ht="20.100000000000001" customHeight="1" thickBot="1">
      <c r="A31" s="212"/>
      <c r="B31" s="213"/>
      <c r="C31" s="214" t="s">
        <v>207</v>
      </c>
      <c r="D31" s="213"/>
      <c r="E31" s="217">
        <f>1.3</f>
        <v>1.3</v>
      </c>
      <c r="F31" s="216"/>
      <c r="G31" s="216"/>
      <c r="H31" s="27"/>
      <c r="I31" s="177"/>
      <c r="J31" s="24"/>
    </row>
    <row r="32" spans="1:10" ht="20.100000000000001" customHeight="1" thickBot="1">
      <c r="A32" s="46">
        <v>9</v>
      </c>
      <c r="B32" s="47">
        <v>764002861</v>
      </c>
      <c r="C32" s="48" t="s">
        <v>209</v>
      </c>
      <c r="D32" s="47" t="s">
        <v>126</v>
      </c>
      <c r="E32" s="49">
        <f>SUM(E33:E39)</f>
        <v>63.240000000000009</v>
      </c>
      <c r="F32" s="50"/>
      <c r="G32" s="51">
        <f>ROUND(E32*F32,2)</f>
        <v>0</v>
      </c>
      <c r="H32" s="27">
        <v>2.2300000000000002E-3</v>
      </c>
      <c r="I32" s="177">
        <f>E32*H32</f>
        <v>0.14102520000000004</v>
      </c>
      <c r="J32" s="24"/>
    </row>
    <row r="33" spans="1:10" ht="20.100000000000001" customHeight="1">
      <c r="A33" s="212"/>
      <c r="B33" s="213"/>
      <c r="C33" s="214" t="s">
        <v>210</v>
      </c>
      <c r="D33" s="213"/>
      <c r="E33" s="217">
        <f>5.85+0.45+7.18</f>
        <v>13.48</v>
      </c>
      <c r="F33" s="216"/>
      <c r="G33" s="216"/>
      <c r="H33" s="27"/>
      <c r="I33" s="177"/>
      <c r="J33" s="24"/>
    </row>
    <row r="34" spans="1:10" ht="20.100000000000001" customHeight="1">
      <c r="A34" s="212"/>
      <c r="B34" s="213"/>
      <c r="C34" s="214" t="s">
        <v>215</v>
      </c>
      <c r="D34" s="213"/>
      <c r="E34" s="217">
        <f>4.4</f>
        <v>4.4000000000000004</v>
      </c>
      <c r="F34" s="216"/>
      <c r="G34" s="216"/>
      <c r="H34" s="27"/>
      <c r="I34" s="177"/>
      <c r="J34" s="24"/>
    </row>
    <row r="35" spans="1:10" ht="20.100000000000001" customHeight="1">
      <c r="A35" s="212"/>
      <c r="B35" s="213"/>
      <c r="C35" s="214" t="s">
        <v>211</v>
      </c>
      <c r="D35" s="213"/>
      <c r="E35" s="217">
        <f>5.87+3.94</f>
        <v>9.81</v>
      </c>
      <c r="F35" s="216"/>
      <c r="G35" s="216"/>
      <c r="H35" s="27"/>
      <c r="I35" s="177"/>
      <c r="J35" s="24"/>
    </row>
    <row r="36" spans="1:10" ht="20.100000000000001" customHeight="1">
      <c r="A36" s="212"/>
      <c r="B36" s="213"/>
      <c r="C36" s="214" t="s">
        <v>212</v>
      </c>
      <c r="D36" s="213"/>
      <c r="E36" s="217">
        <f>11.05</f>
        <v>11.05</v>
      </c>
      <c r="F36" s="216"/>
      <c r="G36" s="216"/>
      <c r="H36" s="27"/>
      <c r="I36" s="177"/>
      <c r="J36" s="24"/>
    </row>
    <row r="37" spans="1:10" ht="20.100000000000001" customHeight="1">
      <c r="A37" s="212"/>
      <c r="B37" s="213"/>
      <c r="C37" s="214" t="s">
        <v>214</v>
      </c>
      <c r="D37" s="213"/>
      <c r="E37" s="217">
        <f>1.4*3</f>
        <v>4.1999999999999993</v>
      </c>
      <c r="F37" s="216"/>
      <c r="G37" s="216"/>
      <c r="H37" s="27"/>
      <c r="I37" s="177"/>
      <c r="J37" s="24"/>
    </row>
    <row r="38" spans="1:10" ht="20.100000000000001" customHeight="1">
      <c r="A38" s="212"/>
      <c r="B38" s="213"/>
      <c r="C38" s="214" t="s">
        <v>213</v>
      </c>
      <c r="D38" s="213"/>
      <c r="E38" s="217">
        <f>0.5+3+3+5.8</f>
        <v>12.3</v>
      </c>
      <c r="F38" s="216"/>
      <c r="G38" s="216"/>
      <c r="H38" s="27"/>
      <c r="I38" s="177"/>
      <c r="J38" s="24"/>
    </row>
    <row r="39" spans="1:10" ht="20.100000000000001" customHeight="1" thickBot="1">
      <c r="A39" s="212"/>
      <c r="B39" s="213"/>
      <c r="C39" s="214" t="s">
        <v>341</v>
      </c>
      <c r="D39" s="213"/>
      <c r="E39" s="217">
        <f>7.2+0.4+0.4</f>
        <v>8</v>
      </c>
      <c r="F39" s="216"/>
      <c r="G39" s="216"/>
      <c r="H39" s="27"/>
      <c r="I39" s="177"/>
      <c r="J39" s="24"/>
    </row>
    <row r="40" spans="1:10" ht="20.100000000000001" customHeight="1" thickBot="1">
      <c r="A40" s="46">
        <v>10</v>
      </c>
      <c r="B40" s="47">
        <v>764002841</v>
      </c>
      <c r="C40" s="48" t="s">
        <v>120</v>
      </c>
      <c r="D40" s="47" t="s">
        <v>126</v>
      </c>
      <c r="E40" s="49">
        <f>E41</f>
        <v>4.84</v>
      </c>
      <c r="F40" s="50"/>
      <c r="G40" s="51">
        <f>ROUND(E40*F40,2)</f>
        <v>0</v>
      </c>
      <c r="H40" s="27">
        <v>1.91E-3</v>
      </c>
      <c r="I40" s="177">
        <f>E40*H40</f>
        <v>9.2443999999999998E-3</v>
      </c>
      <c r="J40" s="24"/>
    </row>
    <row r="41" spans="1:10" ht="20.100000000000001" customHeight="1" thickBot="1">
      <c r="A41" s="212"/>
      <c r="B41" s="213"/>
      <c r="C41" s="214" t="s">
        <v>208</v>
      </c>
      <c r="D41" s="213"/>
      <c r="E41" s="217">
        <f>2.66+2.18</f>
        <v>4.84</v>
      </c>
      <c r="F41" s="216"/>
      <c r="G41" s="216"/>
      <c r="H41" s="27"/>
      <c r="I41" s="177"/>
      <c r="J41" s="24"/>
    </row>
    <row r="42" spans="1:10" ht="20.100000000000001" customHeight="1" thickBot="1">
      <c r="A42" s="46">
        <v>11</v>
      </c>
      <c r="B42" s="47">
        <v>764002871</v>
      </c>
      <c r="C42" s="48" t="s">
        <v>121</v>
      </c>
      <c r="D42" s="47" t="s">
        <v>126</v>
      </c>
      <c r="E42" s="49">
        <f>SUM(E43:E48)</f>
        <v>47.37</v>
      </c>
      <c r="F42" s="50"/>
      <c r="G42" s="51">
        <f>ROUND(E42*F42,2)</f>
        <v>0</v>
      </c>
      <c r="H42" s="27">
        <v>1.75E-3</v>
      </c>
      <c r="I42" s="177">
        <f>E42*H42</f>
        <v>8.2897499999999999E-2</v>
      </c>
      <c r="J42" s="24"/>
    </row>
    <row r="43" spans="1:10" ht="20.100000000000001" customHeight="1">
      <c r="A43" s="212"/>
      <c r="B43" s="213"/>
      <c r="C43" s="214" t="s">
        <v>216</v>
      </c>
      <c r="D43" s="213"/>
      <c r="E43" s="217">
        <f>1.15+0.25*2+1.05+1.25+2.7+2.7+0.4+0.4</f>
        <v>10.150000000000002</v>
      </c>
      <c r="F43" s="216"/>
      <c r="G43" s="216"/>
      <c r="H43" s="27"/>
      <c r="I43" s="177"/>
      <c r="J43" s="24"/>
    </row>
    <row r="44" spans="1:10" ht="20.100000000000001" customHeight="1">
      <c r="A44" s="212"/>
      <c r="B44" s="213"/>
      <c r="C44" s="214" t="s">
        <v>217</v>
      </c>
      <c r="D44" s="213"/>
      <c r="E44" s="217">
        <f>2.36+1.9+2.36+1.9</f>
        <v>8.52</v>
      </c>
      <c r="F44" s="216"/>
      <c r="G44" s="216"/>
      <c r="H44" s="27"/>
      <c r="I44" s="177"/>
      <c r="J44" s="24"/>
    </row>
    <row r="45" spans="1:10" ht="20.100000000000001" customHeight="1">
      <c r="A45" s="212"/>
      <c r="B45" s="213"/>
      <c r="C45" s="214" t="s">
        <v>218</v>
      </c>
      <c r="D45" s="213"/>
      <c r="E45" s="217">
        <f>2.8</f>
        <v>2.8</v>
      </c>
      <c r="F45" s="216"/>
      <c r="G45" s="216"/>
      <c r="H45" s="27"/>
      <c r="I45" s="177"/>
      <c r="J45" s="24"/>
    </row>
    <row r="46" spans="1:10" ht="20.100000000000001" customHeight="1">
      <c r="A46" s="212"/>
      <c r="B46" s="213"/>
      <c r="C46" s="214" t="s">
        <v>219</v>
      </c>
      <c r="D46" s="213"/>
      <c r="E46" s="217">
        <f>5.25+3+3</f>
        <v>11.25</v>
      </c>
      <c r="F46" s="216"/>
      <c r="G46" s="216"/>
      <c r="H46" s="27"/>
      <c r="I46" s="177"/>
      <c r="J46" s="24"/>
    </row>
    <row r="47" spans="1:10" ht="20.100000000000001" customHeight="1">
      <c r="A47" s="212"/>
      <c r="B47" s="213"/>
      <c r="C47" s="214" t="s">
        <v>220</v>
      </c>
      <c r="D47" s="213"/>
      <c r="E47" s="217">
        <f>3.2*2+2.75</f>
        <v>9.15</v>
      </c>
      <c r="F47" s="216"/>
      <c r="G47" s="216"/>
      <c r="H47" s="27"/>
      <c r="I47" s="177"/>
      <c r="J47" s="24"/>
    </row>
    <row r="48" spans="1:10" ht="20.100000000000001" customHeight="1" thickBot="1">
      <c r="A48" s="212"/>
      <c r="B48" s="213"/>
      <c r="C48" s="214" t="s">
        <v>221</v>
      </c>
      <c r="D48" s="213"/>
      <c r="E48" s="217">
        <f>5.5</f>
        <v>5.5</v>
      </c>
      <c r="F48" s="216"/>
      <c r="G48" s="216"/>
      <c r="H48" s="27"/>
      <c r="I48" s="177"/>
      <c r="J48" s="24"/>
    </row>
    <row r="49" spans="1:10" ht="20.100000000000001" customHeight="1" thickBot="1">
      <c r="A49" s="46">
        <v>12</v>
      </c>
      <c r="B49" s="47">
        <v>764002881</v>
      </c>
      <c r="C49" s="48" t="s">
        <v>222</v>
      </c>
      <c r="D49" s="47" t="s">
        <v>108</v>
      </c>
      <c r="E49" s="49">
        <v>1</v>
      </c>
      <c r="F49" s="50"/>
      <c r="G49" s="51">
        <f>ROUND(E49*F49,2)</f>
        <v>0</v>
      </c>
      <c r="H49" s="27">
        <v>5.8399999999999997E-3</v>
      </c>
      <c r="I49" s="177">
        <f>E49*H49</f>
        <v>5.8399999999999997E-3</v>
      </c>
      <c r="J49" s="24"/>
    </row>
    <row r="50" spans="1:10" ht="20.100000000000001" customHeight="1" thickBot="1">
      <c r="A50" s="212"/>
      <c r="B50" s="213"/>
      <c r="C50" s="214" t="s">
        <v>223</v>
      </c>
      <c r="D50" s="213"/>
      <c r="E50" s="217"/>
      <c r="F50" s="216"/>
      <c r="G50" s="216"/>
      <c r="H50" s="27"/>
      <c r="I50" s="177"/>
      <c r="J50" s="24"/>
    </row>
    <row r="51" spans="1:10" ht="20.100000000000001" customHeight="1" thickBot="1">
      <c r="A51" s="46">
        <v>13</v>
      </c>
      <c r="B51" s="47">
        <v>764003801</v>
      </c>
      <c r="C51" s="48" t="s">
        <v>224</v>
      </c>
      <c r="D51" s="47" t="s">
        <v>122</v>
      </c>
      <c r="E51" s="49">
        <v>3</v>
      </c>
      <c r="F51" s="50"/>
      <c r="G51" s="51">
        <f>ROUND(E51*F51,2)</f>
        <v>0</v>
      </c>
      <c r="H51" s="27">
        <v>1.8799999999999999E-3</v>
      </c>
      <c r="I51" s="177">
        <f>E51*H51</f>
        <v>5.64E-3</v>
      </c>
      <c r="J51" s="24"/>
    </row>
    <row r="52" spans="1:10" ht="20.100000000000001" customHeight="1" thickBot="1">
      <c r="A52" s="52"/>
      <c r="B52" s="53"/>
      <c r="C52" s="25"/>
      <c r="D52" s="53"/>
      <c r="E52" s="54"/>
      <c r="F52" s="55"/>
      <c r="G52" s="55"/>
      <c r="H52" s="27"/>
      <c r="I52" s="177"/>
      <c r="J52" s="24"/>
    </row>
    <row r="53" spans="1:10" ht="20.100000000000001" customHeight="1" thickBot="1">
      <c r="A53" s="46">
        <v>14</v>
      </c>
      <c r="B53" s="47">
        <v>764004821</v>
      </c>
      <c r="C53" s="48" t="s">
        <v>225</v>
      </c>
      <c r="D53" s="47" t="s">
        <v>124</v>
      </c>
      <c r="E53" s="49">
        <f>SUM(E54:E56)</f>
        <v>68.95</v>
      </c>
      <c r="F53" s="50"/>
      <c r="G53" s="51">
        <f>ROUND(E53*F53,2)</f>
        <v>0</v>
      </c>
      <c r="H53" s="27">
        <v>6.0499999999999998E-3</v>
      </c>
      <c r="I53" s="177">
        <f>E53*H53</f>
        <v>0.4171475</v>
      </c>
      <c r="J53" s="24"/>
    </row>
    <row r="54" spans="1:10" ht="20.100000000000001" customHeight="1">
      <c r="A54" s="212"/>
      <c r="B54" s="213"/>
      <c r="C54" s="214" t="s">
        <v>226</v>
      </c>
      <c r="D54" s="213"/>
      <c r="E54" s="218">
        <f>11.55+10.8+5.9+0.55+7.8+6.35+2.3+5.1</f>
        <v>50.35</v>
      </c>
      <c r="F54" s="216"/>
      <c r="G54" s="216"/>
      <c r="H54" s="27"/>
      <c r="I54" s="177"/>
      <c r="J54" s="24"/>
    </row>
    <row r="55" spans="1:10" ht="20.100000000000001" customHeight="1">
      <c r="A55" s="212"/>
      <c r="B55" s="213"/>
      <c r="C55" s="214" t="s">
        <v>227</v>
      </c>
      <c r="D55" s="213"/>
      <c r="E55" s="218">
        <f>3+2.3+2.3</f>
        <v>7.6</v>
      </c>
      <c r="F55" s="216"/>
      <c r="G55" s="216"/>
      <c r="H55" s="27"/>
      <c r="I55" s="177"/>
      <c r="J55" s="24"/>
    </row>
    <row r="56" spans="1:10" ht="20.100000000000001" customHeight="1" thickBot="1">
      <c r="A56" s="212"/>
      <c r="B56" s="213"/>
      <c r="C56" s="214" t="s">
        <v>228</v>
      </c>
      <c r="D56" s="213"/>
      <c r="E56" s="217">
        <f>2.5+2.5+6</f>
        <v>11</v>
      </c>
      <c r="F56" s="216"/>
      <c r="G56" s="216"/>
      <c r="H56" s="27"/>
      <c r="I56" s="177"/>
      <c r="J56" s="24"/>
    </row>
    <row r="57" spans="1:10" ht="20.100000000000001" customHeight="1" thickBot="1">
      <c r="A57" s="46">
        <v>15</v>
      </c>
      <c r="B57" s="47">
        <v>764004841</v>
      </c>
      <c r="C57" s="48" t="s">
        <v>229</v>
      </c>
      <c r="D57" s="47" t="s">
        <v>122</v>
      </c>
      <c r="E57" s="49">
        <f>SUM(E58:E58)</f>
        <v>143</v>
      </c>
      <c r="F57" s="50"/>
      <c r="G57" s="51">
        <f>ROUND(E57*F57,2)</f>
        <v>0</v>
      </c>
      <c r="H57" s="27">
        <v>9.4000000000000004E-3</v>
      </c>
      <c r="I57" s="177">
        <f>E57*H57</f>
        <v>1.3442000000000001</v>
      </c>
      <c r="J57" s="24"/>
    </row>
    <row r="58" spans="1:10" ht="20.100000000000001" customHeight="1" thickBot="1">
      <c r="A58" s="212"/>
      <c r="B58" s="213"/>
      <c r="C58" s="214" t="s">
        <v>230</v>
      </c>
      <c r="D58" s="213"/>
      <c r="E58" s="217">
        <f>24+22+12+2+16+13+5+11+6+5+5+5+5+12</f>
        <v>143</v>
      </c>
      <c r="F58" s="216"/>
      <c r="G58" s="216"/>
      <c r="H58" s="27"/>
      <c r="I58" s="177"/>
      <c r="J58" s="24"/>
    </row>
    <row r="59" spans="1:10" ht="20.100000000000001" customHeight="1" thickBot="1">
      <c r="A59" s="46">
        <v>16</v>
      </c>
      <c r="B59" s="47">
        <v>764004861</v>
      </c>
      <c r="C59" s="48" t="s">
        <v>231</v>
      </c>
      <c r="D59" s="47" t="s">
        <v>126</v>
      </c>
      <c r="E59" s="49">
        <f>SUM(E60:E60)</f>
        <v>49.850000000000009</v>
      </c>
      <c r="F59" s="50"/>
      <c r="G59" s="51">
        <f>ROUND(E59*F59,2)</f>
        <v>0</v>
      </c>
      <c r="H59" s="27">
        <v>3.9399999999999999E-3</v>
      </c>
      <c r="I59" s="177">
        <f>E59*H59</f>
        <v>0.19640900000000003</v>
      </c>
      <c r="J59" s="24"/>
    </row>
    <row r="60" spans="1:10" ht="20.100000000000001" customHeight="1" thickBot="1">
      <c r="A60" s="212"/>
      <c r="B60" s="213"/>
      <c r="C60" s="214" t="s">
        <v>232</v>
      </c>
      <c r="D60" s="213"/>
      <c r="E60" s="217">
        <f>9.4+10+0.3+0.25+4.9+9.5+10.3+5.2</f>
        <v>49.850000000000009</v>
      </c>
      <c r="F60" s="216"/>
      <c r="G60" s="216"/>
      <c r="H60" s="27"/>
      <c r="I60" s="177"/>
      <c r="J60" s="24"/>
    </row>
    <row r="61" spans="1:10" ht="20.100000000000001" customHeight="1" thickBot="1">
      <c r="A61" s="46">
        <v>17</v>
      </c>
      <c r="B61" s="47">
        <v>764001801</v>
      </c>
      <c r="C61" s="48" t="s">
        <v>233</v>
      </c>
      <c r="D61" s="47" t="s">
        <v>126</v>
      </c>
      <c r="E61" s="49">
        <f>E53</f>
        <v>68.95</v>
      </c>
      <c r="F61" s="50"/>
      <c r="G61" s="51">
        <f>ROUND(E61*F61,2)</f>
        <v>0</v>
      </c>
      <c r="H61" s="27">
        <v>1.7600000000000001E-3</v>
      </c>
      <c r="I61" s="177">
        <f>E61*H61</f>
        <v>0.12135200000000002</v>
      </c>
      <c r="J61" s="24"/>
    </row>
    <row r="62" spans="1:10" ht="20.100000000000001" customHeight="1" thickBot="1">
      <c r="A62" s="52"/>
      <c r="B62" s="53"/>
      <c r="C62" s="25"/>
      <c r="D62" s="53"/>
      <c r="E62" s="54"/>
      <c r="F62" s="55"/>
      <c r="G62" s="55"/>
      <c r="H62" s="27"/>
      <c r="I62" s="177"/>
      <c r="J62" s="24"/>
    </row>
    <row r="63" spans="1:10" ht="20.100000000000001" customHeight="1" thickBot="1">
      <c r="A63" s="46">
        <v>18</v>
      </c>
      <c r="B63" s="47">
        <v>764001891</v>
      </c>
      <c r="C63" s="48" t="s">
        <v>234</v>
      </c>
      <c r="D63" s="47" t="s">
        <v>126</v>
      </c>
      <c r="E63" s="49">
        <f>SUM(E64:E66)</f>
        <v>24.4</v>
      </c>
      <c r="F63" s="50"/>
      <c r="G63" s="51">
        <f>ROUND(E63*F63,2)</f>
        <v>0</v>
      </c>
      <c r="H63" s="27">
        <v>3.48E-3</v>
      </c>
      <c r="I63" s="177">
        <f>E63*H63</f>
        <v>8.4912000000000001E-2</v>
      </c>
      <c r="J63" s="24"/>
    </row>
    <row r="64" spans="1:10" ht="20.100000000000001" customHeight="1">
      <c r="A64" s="212"/>
      <c r="B64" s="213"/>
      <c r="C64" s="214" t="s">
        <v>235</v>
      </c>
      <c r="D64" s="213"/>
      <c r="E64" s="218">
        <f>4.8*2</f>
        <v>9.6</v>
      </c>
      <c r="F64" s="216"/>
      <c r="G64" s="216"/>
      <c r="H64" s="27"/>
      <c r="I64" s="177"/>
      <c r="J64" s="24"/>
    </row>
    <row r="65" spans="1:10" ht="20.100000000000001" customHeight="1">
      <c r="A65" s="212"/>
      <c r="B65" s="213"/>
      <c r="C65" s="214" t="s">
        <v>236</v>
      </c>
      <c r="D65" s="213"/>
      <c r="E65" s="218">
        <f>2.5*2</f>
        <v>5</v>
      </c>
      <c r="F65" s="216"/>
      <c r="G65" s="216"/>
      <c r="H65" s="27"/>
      <c r="I65" s="177"/>
      <c r="J65" s="24"/>
    </row>
    <row r="66" spans="1:10" ht="20.100000000000001" customHeight="1" thickBot="1">
      <c r="A66" s="212"/>
      <c r="B66" s="213"/>
      <c r="C66" s="214" t="s">
        <v>237</v>
      </c>
      <c r="D66" s="213"/>
      <c r="E66" s="218">
        <f>5+4.8</f>
        <v>9.8000000000000007</v>
      </c>
      <c r="F66" s="216"/>
      <c r="G66" s="216"/>
      <c r="H66" s="27"/>
      <c r="I66" s="177"/>
      <c r="J66" s="24"/>
    </row>
    <row r="67" spans="1:10" ht="20.100000000000001" customHeight="1" thickBot="1">
      <c r="A67" s="46">
        <v>19</v>
      </c>
      <c r="B67" s="47">
        <v>764002801</v>
      </c>
      <c r="C67" s="48" t="s">
        <v>238</v>
      </c>
      <c r="D67" s="47" t="s">
        <v>126</v>
      </c>
      <c r="E67" s="49">
        <f>E68</f>
        <v>2.4</v>
      </c>
      <c r="F67" s="50"/>
      <c r="G67" s="51">
        <f>ROUND(E67*F67,2)</f>
        <v>0</v>
      </c>
      <c r="H67" s="27">
        <v>1.6999999999999999E-3</v>
      </c>
      <c r="I67" s="177">
        <f>E67*H67</f>
        <v>4.0799999999999994E-3</v>
      </c>
      <c r="J67" s="24"/>
    </row>
    <row r="68" spans="1:10" ht="20.100000000000001" customHeight="1" thickBot="1">
      <c r="A68" s="212"/>
      <c r="B68" s="213"/>
      <c r="C68" s="214" t="s">
        <v>239</v>
      </c>
      <c r="D68" s="213"/>
      <c r="E68" s="218">
        <f>1.2*2</f>
        <v>2.4</v>
      </c>
      <c r="F68" s="216"/>
      <c r="G68" s="216"/>
      <c r="H68" s="27"/>
      <c r="I68" s="177"/>
      <c r="J68" s="24"/>
    </row>
    <row r="69" spans="1:10" ht="20.100000000000001" customHeight="1" thickBot="1">
      <c r="A69" s="46">
        <v>20</v>
      </c>
      <c r="B69" s="47">
        <v>764002821</v>
      </c>
      <c r="C69" s="48" t="s">
        <v>240</v>
      </c>
      <c r="D69" s="47" t="s">
        <v>122</v>
      </c>
      <c r="E69" s="49">
        <v>3</v>
      </c>
      <c r="F69" s="50"/>
      <c r="G69" s="51">
        <f>ROUND(E69*F69,2)</f>
        <v>0</v>
      </c>
      <c r="H69" s="27">
        <v>1.4999999999999999E-2</v>
      </c>
      <c r="I69" s="177">
        <f>E69*H69</f>
        <v>4.4999999999999998E-2</v>
      </c>
      <c r="J69" s="24"/>
    </row>
    <row r="70" spans="1:10" ht="20.100000000000001" customHeight="1" thickBot="1">
      <c r="A70" s="212"/>
      <c r="B70" s="213"/>
      <c r="C70" s="214"/>
      <c r="D70" s="213"/>
      <c r="E70" s="218"/>
      <c r="F70" s="216"/>
      <c r="G70" s="216"/>
      <c r="H70" s="27"/>
      <c r="I70" s="177"/>
      <c r="J70" s="24"/>
    </row>
    <row r="71" spans="1:10" ht="20.100000000000001" customHeight="1" thickBot="1">
      <c r="A71" s="46">
        <v>21</v>
      </c>
      <c r="B71" s="47">
        <v>764001841</v>
      </c>
      <c r="C71" s="48" t="s">
        <v>241</v>
      </c>
      <c r="D71" s="47" t="s">
        <v>108</v>
      </c>
      <c r="E71" s="49">
        <f>E72</f>
        <v>180.9</v>
      </c>
      <c r="F71" s="50"/>
      <c r="G71" s="51">
        <f>ROUND(E71*F71,2)</f>
        <v>0</v>
      </c>
      <c r="H71" s="27">
        <v>3.1199999999999999E-3</v>
      </c>
      <c r="I71" s="177">
        <f>E71*H71</f>
        <v>0.56440800000000002</v>
      </c>
      <c r="J71" s="24"/>
    </row>
    <row r="72" spans="1:10" ht="20.100000000000001" customHeight="1" thickBot="1">
      <c r="A72" s="212"/>
      <c r="B72" s="213"/>
      <c r="C72" s="214" t="s">
        <v>242</v>
      </c>
      <c r="D72" s="213"/>
      <c r="E72" s="215">
        <f>40+31+8.5+13.5+20+0.65+0.65+1+32.5+3+4.5+4.5+4.6+12+4.5</f>
        <v>180.9</v>
      </c>
      <c r="F72" s="216"/>
      <c r="G72" s="216"/>
      <c r="H72" s="27"/>
      <c r="I72" s="177"/>
      <c r="J72" s="24"/>
    </row>
    <row r="73" spans="1:10" ht="20.100000000000001" customHeight="1" thickBot="1">
      <c r="A73" s="46">
        <v>22</v>
      </c>
      <c r="B73" s="47">
        <v>762341811</v>
      </c>
      <c r="C73" s="48" t="s">
        <v>390</v>
      </c>
      <c r="D73" s="47" t="s">
        <v>108</v>
      </c>
      <c r="E73" s="49">
        <f>E71</f>
        <v>180.9</v>
      </c>
      <c r="F73" s="50"/>
      <c r="G73" s="51">
        <f>ROUND(E73*F73,2)</f>
        <v>0</v>
      </c>
      <c r="H73" s="27">
        <v>1.4999999999999999E-2</v>
      </c>
      <c r="I73" s="177">
        <f>E73*H73</f>
        <v>2.7134999999999998</v>
      </c>
      <c r="J73" s="24"/>
    </row>
    <row r="74" spans="1:10" ht="20.100000000000001" customHeight="1" thickBot="1">
      <c r="A74" s="212"/>
      <c r="B74" s="213"/>
      <c r="C74" s="214"/>
      <c r="D74" s="213"/>
      <c r="E74" s="215"/>
      <c r="F74" s="216"/>
      <c r="G74" s="216"/>
      <c r="H74" s="27"/>
      <c r="I74" s="177"/>
      <c r="J74" s="24"/>
    </row>
    <row r="75" spans="1:10" ht="20.100000000000001" customHeight="1" thickBot="1">
      <c r="A75" s="46">
        <v>23</v>
      </c>
      <c r="B75" s="47">
        <v>767661811</v>
      </c>
      <c r="C75" s="48" t="s">
        <v>243</v>
      </c>
      <c r="D75" s="47" t="s">
        <v>108</v>
      </c>
      <c r="E75" s="49">
        <f>E76</f>
        <v>7.1052</v>
      </c>
      <c r="F75" s="50"/>
      <c r="G75" s="51">
        <f>ROUND(E75*F75,2)</f>
        <v>0</v>
      </c>
      <c r="H75" s="27">
        <v>0.02</v>
      </c>
      <c r="I75" s="177">
        <f>E75*H75</f>
        <v>0.14210400000000001</v>
      </c>
      <c r="J75" s="24"/>
    </row>
    <row r="76" spans="1:10" ht="20.100000000000001" customHeight="1" thickBot="1">
      <c r="A76" s="212"/>
      <c r="B76" s="213"/>
      <c r="C76" s="214" t="s">
        <v>244</v>
      </c>
      <c r="D76" s="213"/>
      <c r="E76" s="215">
        <f>0.5*0.76*2+0.5*0.77*2+0.5*0.76+0.86*0.9+0.86*0.9+0.86*1.28*2+1.39*1.04</f>
        <v>7.1052</v>
      </c>
      <c r="F76" s="216"/>
      <c r="G76" s="216"/>
      <c r="H76" s="27"/>
      <c r="I76" s="177"/>
      <c r="J76" s="24"/>
    </row>
    <row r="77" spans="1:10" ht="20.100000000000001" customHeight="1" thickBot="1">
      <c r="A77" s="46">
        <v>24</v>
      </c>
      <c r="B77" s="47">
        <v>978015361</v>
      </c>
      <c r="C77" s="48" t="s">
        <v>245</v>
      </c>
      <c r="D77" s="47" t="s">
        <v>108</v>
      </c>
      <c r="E77" s="49">
        <f>SUM(E78:E87)</f>
        <v>396.11100000000005</v>
      </c>
      <c r="F77" s="50"/>
      <c r="G77" s="51">
        <f>ROUND(E77*F77,2)</f>
        <v>0</v>
      </c>
      <c r="H77" s="27">
        <v>2.9000000000000001E-2</v>
      </c>
      <c r="I77" s="177">
        <f>E77*H77</f>
        <v>11.487219000000001</v>
      </c>
      <c r="J77" s="24"/>
    </row>
    <row r="78" spans="1:10" ht="20.100000000000001" customHeight="1">
      <c r="A78" s="212"/>
      <c r="B78" s="213"/>
      <c r="C78" s="214" t="s">
        <v>342</v>
      </c>
      <c r="D78" s="213"/>
      <c r="E78" s="239">
        <f>E146</f>
        <v>357.31270000000001</v>
      </c>
      <c r="F78" s="216"/>
      <c r="G78" s="216"/>
      <c r="H78" s="27"/>
      <c r="I78" s="177"/>
      <c r="J78" s="24"/>
    </row>
    <row r="79" spans="1:10" ht="20.100000000000001" customHeight="1">
      <c r="A79" s="212"/>
      <c r="B79" s="213"/>
      <c r="C79" s="214" t="s">
        <v>246</v>
      </c>
      <c r="D79" s="213"/>
      <c r="E79" s="218">
        <v>3</v>
      </c>
      <c r="F79" s="216"/>
      <c r="G79" s="216"/>
      <c r="H79" s="27"/>
      <c r="I79" s="177"/>
      <c r="J79" s="24"/>
    </row>
    <row r="80" spans="1:10" ht="20.100000000000001" customHeight="1">
      <c r="A80" s="212"/>
      <c r="B80" s="213"/>
      <c r="C80" s="214" t="s">
        <v>247</v>
      </c>
      <c r="D80" s="213"/>
      <c r="E80" s="218">
        <v>5</v>
      </c>
      <c r="F80" s="216"/>
      <c r="G80" s="216"/>
      <c r="H80" s="27"/>
      <c r="I80" s="177"/>
      <c r="J80" s="24"/>
    </row>
    <row r="81" spans="1:10" ht="20.100000000000001" customHeight="1">
      <c r="A81" s="212"/>
      <c r="B81" s="213" t="s">
        <v>143</v>
      </c>
      <c r="C81" s="214" t="s">
        <v>248</v>
      </c>
      <c r="D81" s="213"/>
      <c r="E81" s="215">
        <f>0.2*(1.05*8+1.73*8+2.6*4+1.75*4+0.5*2+0.8*2+1.05*6+1.73*6+1.94*2+1.73*2+1.04*4+0.53*4)</f>
        <v>14.508000000000003</v>
      </c>
      <c r="F81" s="216"/>
      <c r="G81" s="216"/>
      <c r="H81" s="27"/>
      <c r="I81" s="177"/>
      <c r="J81" s="24"/>
    </row>
    <row r="82" spans="1:10" ht="20.100000000000001" customHeight="1">
      <c r="A82" s="212"/>
      <c r="B82" s="213" t="s">
        <v>143</v>
      </c>
      <c r="C82" s="214" t="s">
        <v>249</v>
      </c>
      <c r="D82" s="213"/>
      <c r="E82" s="215">
        <f>0.25*(1.24+2.48*2)</f>
        <v>1.55</v>
      </c>
      <c r="F82" s="216"/>
      <c r="G82" s="216"/>
      <c r="H82" s="27"/>
      <c r="I82" s="177"/>
      <c r="J82" s="24"/>
    </row>
    <row r="83" spans="1:10" ht="20.100000000000001" customHeight="1">
      <c r="A83" s="212"/>
      <c r="B83" s="213" t="s">
        <v>144</v>
      </c>
      <c r="C83" s="214" t="s">
        <v>250</v>
      </c>
      <c r="D83" s="213"/>
      <c r="E83" s="215">
        <f>0.15*(1.05*8+1.73*8+0.92+2.45*2+0.5*2+0.8*2+0.84*4+1.51*4+0.85*2+1.51*2+1.05+2.59*2)</f>
        <v>7.6515000000000004</v>
      </c>
      <c r="F83" s="216"/>
      <c r="G83" s="216"/>
      <c r="H83" s="27"/>
      <c r="I83" s="177"/>
      <c r="J83" s="24"/>
    </row>
    <row r="84" spans="1:10" ht="20.100000000000001" customHeight="1">
      <c r="A84" s="212"/>
      <c r="B84" s="213" t="s">
        <v>144</v>
      </c>
      <c r="C84" s="214" t="s">
        <v>251</v>
      </c>
      <c r="D84" s="213"/>
      <c r="E84" s="215">
        <f>0.15*(1.48*2+1.64*2+1.48*2+1.64*2+1.52+2.34*2+1.36+2.64*2)</f>
        <v>3.798</v>
      </c>
      <c r="F84" s="216"/>
      <c r="G84" s="216"/>
      <c r="H84" s="27"/>
      <c r="I84" s="177"/>
      <c r="J84" s="24"/>
    </row>
    <row r="85" spans="1:10" ht="20.100000000000001" customHeight="1">
      <c r="A85" s="212"/>
      <c r="B85" s="213" t="s">
        <v>144</v>
      </c>
      <c r="C85" s="214" t="s">
        <v>252</v>
      </c>
      <c r="D85" s="213"/>
      <c r="E85" s="215">
        <f>0.15*(1.02+2.5*2)</f>
        <v>0.90299999999999991</v>
      </c>
      <c r="F85" s="216"/>
      <c r="G85" s="216"/>
      <c r="H85" s="27"/>
      <c r="I85" s="177"/>
      <c r="J85" s="24"/>
    </row>
    <row r="86" spans="1:10" ht="20.100000000000001" customHeight="1">
      <c r="A86" s="212"/>
      <c r="B86" s="213" t="s">
        <v>144</v>
      </c>
      <c r="C86" s="214" t="s">
        <v>253</v>
      </c>
      <c r="D86" s="213"/>
      <c r="E86" s="215">
        <f>0.08*(1.05+2.53*2)</f>
        <v>0.48879999999999996</v>
      </c>
      <c r="F86" s="216"/>
      <c r="G86" s="216"/>
      <c r="H86" s="27"/>
      <c r="I86" s="177"/>
      <c r="J86" s="24"/>
    </row>
    <row r="87" spans="1:10" ht="20.100000000000001" customHeight="1" thickBot="1">
      <c r="A87" s="212"/>
      <c r="B87" s="213" t="s">
        <v>255</v>
      </c>
      <c r="C87" s="214" t="s">
        <v>254</v>
      </c>
      <c r="D87" s="213"/>
      <c r="E87" s="215">
        <f>0.15*(0.88*4+1.23*4+0.88*2+1.23*2)</f>
        <v>1.899</v>
      </c>
      <c r="F87" s="216"/>
      <c r="G87" s="216"/>
      <c r="H87" s="27"/>
      <c r="I87" s="177"/>
      <c r="J87" s="24"/>
    </row>
    <row r="88" spans="1:10" ht="20.100000000000001" customHeight="1" thickBot="1">
      <c r="A88" s="46">
        <v>25</v>
      </c>
      <c r="B88" s="47">
        <v>741421811</v>
      </c>
      <c r="C88" s="48" t="s">
        <v>256</v>
      </c>
      <c r="D88" s="47" t="s">
        <v>0</v>
      </c>
      <c r="E88" s="49">
        <v>50</v>
      </c>
      <c r="F88" s="50"/>
      <c r="G88" s="51">
        <f>ROUND(E88*F88,2)</f>
        <v>0</v>
      </c>
      <c r="H88" s="27">
        <v>4.0000000000000002E-4</v>
      </c>
      <c r="I88" s="177">
        <f>E88*H88</f>
        <v>0.02</v>
      </c>
      <c r="J88" s="24"/>
    </row>
    <row r="89" spans="1:10" ht="20.100000000000001" customHeight="1" thickBot="1">
      <c r="A89" s="212"/>
      <c r="B89" s="213"/>
      <c r="C89" s="214"/>
      <c r="D89" s="213"/>
      <c r="E89" s="215">
        <v>50</v>
      </c>
      <c r="F89" s="216"/>
      <c r="G89" s="216"/>
      <c r="H89" s="27"/>
      <c r="I89" s="177"/>
      <c r="J89" s="24"/>
    </row>
    <row r="90" spans="1:10" ht="20.100000000000001" customHeight="1" thickBot="1">
      <c r="A90" s="46">
        <v>26</v>
      </c>
      <c r="B90" s="47">
        <v>776691914</v>
      </c>
      <c r="C90" s="48" t="s">
        <v>550</v>
      </c>
      <c r="D90" s="47" t="s">
        <v>111</v>
      </c>
      <c r="E90" s="49">
        <v>1</v>
      </c>
      <c r="F90" s="50"/>
      <c r="G90" s="51">
        <f>ROUND(E90*F90,2)</f>
        <v>0</v>
      </c>
      <c r="H90" s="27"/>
      <c r="I90" s="177"/>
      <c r="J90" s="24"/>
    </row>
    <row r="91" spans="1:10" ht="20.100000000000001" customHeight="1" thickBot="1">
      <c r="A91" s="52"/>
      <c r="B91" s="53"/>
      <c r="C91" s="25"/>
      <c r="D91" s="53"/>
      <c r="E91" s="54"/>
      <c r="F91" s="55"/>
      <c r="G91" s="55"/>
      <c r="H91" s="27"/>
      <c r="I91" s="177"/>
      <c r="J91" s="24"/>
    </row>
    <row r="92" spans="1:10" ht="20.100000000000001" customHeight="1" thickBot="1">
      <c r="A92" s="46">
        <v>27</v>
      </c>
      <c r="B92" s="47">
        <v>974031132</v>
      </c>
      <c r="C92" s="48" t="s">
        <v>257</v>
      </c>
      <c r="D92" s="47" t="s">
        <v>0</v>
      </c>
      <c r="E92" s="49">
        <v>120</v>
      </c>
      <c r="F92" s="50"/>
      <c r="G92" s="51">
        <f>ROUND(E92*F92,2)</f>
        <v>0</v>
      </c>
      <c r="H92" s="27">
        <v>6.0000000000000001E-3</v>
      </c>
      <c r="I92" s="177">
        <f>E92*H92</f>
        <v>0.72</v>
      </c>
      <c r="J92" s="24"/>
    </row>
    <row r="93" spans="1:10" ht="20.100000000000001" customHeight="1" thickBot="1">
      <c r="A93" s="52"/>
      <c r="B93" s="53"/>
      <c r="C93" s="25"/>
      <c r="D93" s="53"/>
      <c r="E93" s="54"/>
      <c r="F93" s="55"/>
      <c r="G93" s="55"/>
      <c r="H93" s="27"/>
      <c r="I93" s="177"/>
      <c r="J93" s="24"/>
    </row>
    <row r="94" spans="1:10" ht="20.100000000000001" customHeight="1" thickBot="1">
      <c r="A94" s="46">
        <v>28</v>
      </c>
      <c r="B94" s="47">
        <v>767996801</v>
      </c>
      <c r="C94" s="48" t="s">
        <v>258</v>
      </c>
      <c r="D94" s="47" t="s">
        <v>259</v>
      </c>
      <c r="E94" s="49">
        <f>E95</f>
        <v>5.6400000000000006</v>
      </c>
      <c r="F94" s="50"/>
      <c r="G94" s="51">
        <f>ROUND(E94*F94,2)</f>
        <v>0</v>
      </c>
      <c r="H94" s="27">
        <v>1E-3</v>
      </c>
      <c r="I94" s="177">
        <f>E94*H94</f>
        <v>5.6400000000000009E-3</v>
      </c>
      <c r="J94" s="24"/>
    </row>
    <row r="95" spans="1:10" ht="20.100000000000001" customHeight="1" thickBot="1">
      <c r="A95" s="212"/>
      <c r="B95" s="213"/>
      <c r="C95" s="214" t="s">
        <v>260</v>
      </c>
      <c r="D95" s="213" t="s">
        <v>125</v>
      </c>
      <c r="E95" s="215">
        <f>(6*4+6.4+1+6+2+2+1+2+6+5+1)*0.1</f>
        <v>5.6400000000000006</v>
      </c>
      <c r="F95" s="216"/>
      <c r="G95" s="216"/>
      <c r="H95" s="27"/>
      <c r="I95" s="177"/>
      <c r="J95" s="24"/>
    </row>
    <row r="96" spans="1:10" ht="20.100000000000001" customHeight="1" thickBot="1">
      <c r="A96" s="46">
        <v>29</v>
      </c>
      <c r="B96" s="47">
        <v>767821812</v>
      </c>
      <c r="C96" s="48" t="s">
        <v>261</v>
      </c>
      <c r="D96" s="47" t="s">
        <v>122</v>
      </c>
      <c r="E96" s="49">
        <v>1</v>
      </c>
      <c r="F96" s="50"/>
      <c r="G96" s="51">
        <f>ROUND(E96*F96,2)</f>
        <v>0</v>
      </c>
      <c r="H96" s="27"/>
      <c r="I96" s="177"/>
      <c r="J96" s="24"/>
    </row>
    <row r="97" spans="1:10" ht="20.100000000000001" customHeight="1" thickBot="1">
      <c r="A97" s="52"/>
      <c r="B97" s="53"/>
      <c r="C97" s="25"/>
      <c r="D97" s="53"/>
      <c r="E97" s="54"/>
      <c r="F97" s="55"/>
      <c r="G97" s="55"/>
      <c r="H97" s="27"/>
      <c r="I97" s="177"/>
      <c r="J97" s="24"/>
    </row>
    <row r="98" spans="1:10" ht="20.100000000000001" customHeight="1" thickBot="1">
      <c r="A98" s="46">
        <v>30</v>
      </c>
      <c r="B98" s="47">
        <v>997013113</v>
      </c>
      <c r="C98" s="48" t="s">
        <v>262</v>
      </c>
      <c r="D98" s="47" t="s">
        <v>112</v>
      </c>
      <c r="E98" s="49">
        <f>I98</f>
        <v>24.738953300000002</v>
      </c>
      <c r="F98" s="50"/>
      <c r="G98" s="51">
        <f>ROUND(E98*F98,2)</f>
        <v>0</v>
      </c>
      <c r="H98" s="27"/>
      <c r="I98" s="178">
        <f>SUM(I10:I97)</f>
        <v>24.738953300000002</v>
      </c>
      <c r="J98" s="24"/>
    </row>
    <row r="99" spans="1:10" ht="20.100000000000001" customHeight="1" thickBot="1">
      <c r="A99" s="29"/>
      <c r="B99" s="30"/>
      <c r="C99" s="31"/>
      <c r="D99" s="30"/>
      <c r="E99" s="37"/>
      <c r="F99" s="33"/>
      <c r="G99" s="33"/>
      <c r="H99" s="27"/>
      <c r="I99" s="177"/>
      <c r="J99" s="24"/>
    </row>
    <row r="100" spans="1:10" ht="20.100000000000001" customHeight="1" thickBot="1">
      <c r="A100" s="46">
        <v>31</v>
      </c>
      <c r="B100" s="47">
        <v>997013501</v>
      </c>
      <c r="C100" s="48" t="s">
        <v>127</v>
      </c>
      <c r="D100" s="47" t="s">
        <v>112</v>
      </c>
      <c r="E100" s="49">
        <f>E98</f>
        <v>24.738953300000002</v>
      </c>
      <c r="F100" s="50"/>
      <c r="G100" s="51">
        <f>ROUND(E100*F100,2)</f>
        <v>0</v>
      </c>
      <c r="H100" s="27"/>
      <c r="I100" s="177"/>
      <c r="J100" s="24"/>
    </row>
    <row r="101" spans="1:10" ht="20.100000000000001" customHeight="1" thickBot="1">
      <c r="A101" s="29"/>
      <c r="B101" s="30"/>
      <c r="C101" s="31"/>
      <c r="D101" s="30"/>
      <c r="E101" s="37"/>
      <c r="F101" s="33"/>
      <c r="G101" s="33"/>
      <c r="H101" s="27"/>
      <c r="I101" s="177"/>
      <c r="J101" s="24"/>
    </row>
    <row r="102" spans="1:10" ht="20.100000000000001" customHeight="1" thickBot="1">
      <c r="A102" s="46">
        <v>32</v>
      </c>
      <c r="B102" s="47">
        <v>997013509</v>
      </c>
      <c r="C102" s="48" t="s">
        <v>128</v>
      </c>
      <c r="D102" s="47" t="s">
        <v>112</v>
      </c>
      <c r="E102" s="49">
        <f>E103</f>
        <v>272.12848630000002</v>
      </c>
      <c r="F102" s="50"/>
      <c r="G102" s="51">
        <f>ROUND(E102*F102,2)</f>
        <v>0</v>
      </c>
      <c r="H102" s="27"/>
      <c r="I102" s="177"/>
      <c r="J102" s="24"/>
    </row>
    <row r="103" spans="1:10" ht="20.100000000000001" customHeight="1" thickBot="1">
      <c r="A103" s="212"/>
      <c r="B103" s="213"/>
      <c r="C103" s="214" t="s">
        <v>391</v>
      </c>
      <c r="D103" s="213"/>
      <c r="E103" s="218">
        <f>E100*11</f>
        <v>272.12848630000002</v>
      </c>
      <c r="F103" s="216"/>
      <c r="G103" s="216"/>
      <c r="H103" s="27"/>
      <c r="I103" s="177"/>
      <c r="J103" s="24"/>
    </row>
    <row r="104" spans="1:10" ht="20.100000000000001" customHeight="1" thickBot="1">
      <c r="A104" s="46">
        <v>33</v>
      </c>
      <c r="B104" s="47">
        <v>997013603</v>
      </c>
      <c r="C104" s="48" t="s">
        <v>129</v>
      </c>
      <c r="D104" s="47" t="s">
        <v>112</v>
      </c>
      <c r="E104" s="49">
        <f>E98</f>
        <v>24.738953300000002</v>
      </c>
      <c r="F104" s="50"/>
      <c r="G104" s="51">
        <f>ROUND(E104*F104,2)</f>
        <v>0</v>
      </c>
      <c r="H104" s="27"/>
      <c r="I104" s="177"/>
      <c r="J104" s="24"/>
    </row>
    <row r="105" spans="1:10" ht="20.100000000000001" customHeight="1">
      <c r="A105" s="52"/>
      <c r="B105" s="219"/>
      <c r="C105" s="220"/>
      <c r="D105" s="221"/>
      <c r="E105" s="222"/>
      <c r="F105" s="55"/>
      <c r="G105" s="55"/>
      <c r="H105" s="27"/>
      <c r="I105" s="177"/>
      <c r="J105" s="24"/>
    </row>
    <row r="106" spans="1:10" ht="20.100000000000001" customHeight="1" thickBot="1">
      <c r="A106" s="41"/>
      <c r="B106" s="42">
        <v>2</v>
      </c>
      <c r="C106" s="43" t="s">
        <v>263</v>
      </c>
      <c r="D106" s="42"/>
      <c r="E106" s="44"/>
      <c r="F106" s="45"/>
      <c r="G106" s="45">
        <f>SUM(G107:G109)</f>
        <v>0</v>
      </c>
      <c r="H106" s="27"/>
      <c r="I106" s="177"/>
      <c r="J106" s="24"/>
    </row>
    <row r="107" spans="1:10" ht="36.75" customHeight="1" thickBot="1">
      <c r="A107" s="46">
        <v>34</v>
      </c>
      <c r="B107" s="47">
        <v>985441111</v>
      </c>
      <c r="C107" s="48" t="s">
        <v>265</v>
      </c>
      <c r="D107" s="47" t="s">
        <v>124</v>
      </c>
      <c r="E107" s="49">
        <f>E108</f>
        <v>34</v>
      </c>
      <c r="F107" s="50"/>
      <c r="G107" s="51">
        <f>ROUND(E107*F107,2)</f>
        <v>0</v>
      </c>
      <c r="H107" s="27">
        <v>9.7999999999999997E-4</v>
      </c>
      <c r="I107" s="177">
        <f>E107*H107</f>
        <v>3.3320000000000002E-2</v>
      </c>
      <c r="J107" s="24"/>
    </row>
    <row r="108" spans="1:10" ht="20.100000000000001" customHeight="1" thickBot="1">
      <c r="A108" s="212"/>
      <c r="B108" s="213"/>
      <c r="C108" s="214" t="s">
        <v>264</v>
      </c>
      <c r="D108" s="213"/>
      <c r="E108" s="218">
        <f>3*10+4*1</f>
        <v>34</v>
      </c>
      <c r="F108" s="216"/>
      <c r="G108" s="216"/>
      <c r="H108" s="27"/>
      <c r="I108" s="177"/>
      <c r="J108" s="24"/>
    </row>
    <row r="109" spans="1:10" ht="35.25" customHeight="1" thickBot="1">
      <c r="A109" s="46">
        <v>35</v>
      </c>
      <c r="B109" s="47">
        <v>985441112</v>
      </c>
      <c r="C109" s="48" t="s">
        <v>266</v>
      </c>
      <c r="D109" s="47" t="s">
        <v>124</v>
      </c>
      <c r="E109" s="49">
        <f>E110</f>
        <v>11</v>
      </c>
      <c r="F109" s="50"/>
      <c r="G109" s="51">
        <f>ROUND(E109*F109,2)</f>
        <v>0</v>
      </c>
      <c r="H109" s="27">
        <v>1.1299999999999999E-3</v>
      </c>
      <c r="I109" s="177">
        <f>E109*H109</f>
        <v>1.243E-2</v>
      </c>
      <c r="J109" s="24"/>
    </row>
    <row r="110" spans="1:10" ht="20.100000000000001" customHeight="1">
      <c r="A110" s="212"/>
      <c r="B110" s="225"/>
      <c r="C110" s="227" t="s">
        <v>267</v>
      </c>
      <c r="D110" s="226"/>
      <c r="E110" s="228">
        <f>5*1+6*1</f>
        <v>11</v>
      </c>
      <c r="F110" s="216"/>
      <c r="G110" s="216"/>
      <c r="H110" s="27"/>
      <c r="I110" s="177"/>
      <c r="J110" s="24"/>
    </row>
    <row r="111" spans="1:10" ht="20.100000000000001" customHeight="1">
      <c r="A111" s="52"/>
      <c r="B111" s="219"/>
      <c r="C111" s="220"/>
      <c r="D111" s="221"/>
      <c r="E111" s="222"/>
      <c r="F111" s="55"/>
      <c r="G111" s="55"/>
      <c r="H111" s="27"/>
      <c r="I111" s="177"/>
      <c r="J111" s="24"/>
    </row>
    <row r="112" spans="1:10" ht="20.100000000000001" customHeight="1" thickBot="1">
      <c r="A112" s="41"/>
      <c r="B112" s="42">
        <v>3</v>
      </c>
      <c r="C112" s="43" t="s">
        <v>268</v>
      </c>
      <c r="D112" s="43"/>
      <c r="E112" s="44"/>
      <c r="F112" s="45"/>
      <c r="G112" s="45">
        <f>SUM(G113:G113)</f>
        <v>0</v>
      </c>
      <c r="H112" s="24"/>
      <c r="I112" s="24"/>
      <c r="J112" s="24"/>
    </row>
    <row r="113" spans="1:10" ht="20.100000000000001" customHeight="1" thickBot="1">
      <c r="A113" s="46">
        <v>36</v>
      </c>
      <c r="B113" s="47">
        <v>310238211</v>
      </c>
      <c r="C113" s="48" t="s">
        <v>269</v>
      </c>
      <c r="D113" s="47" t="s">
        <v>118</v>
      </c>
      <c r="E113" s="49">
        <f>SUM(E114:E114)</f>
        <v>0.18000000000000002</v>
      </c>
      <c r="F113" s="50"/>
      <c r="G113" s="51">
        <f>ROUND(E113*F113,2)</f>
        <v>0</v>
      </c>
      <c r="H113" s="27">
        <v>1.8774999999999999</v>
      </c>
      <c r="I113" s="177">
        <f>E113*H113</f>
        <v>0.33795000000000003</v>
      </c>
      <c r="J113" s="24"/>
    </row>
    <row r="114" spans="1:10" ht="20.100000000000001" customHeight="1">
      <c r="A114" s="212"/>
      <c r="B114" s="213"/>
      <c r="C114" s="214" t="s">
        <v>270</v>
      </c>
      <c r="D114" s="213"/>
      <c r="E114" s="215">
        <f>0.5*0.8*0.45</f>
        <v>0.18000000000000002</v>
      </c>
      <c r="F114" s="216"/>
      <c r="G114" s="216"/>
      <c r="H114" s="27"/>
      <c r="I114" s="27"/>
      <c r="J114" s="24"/>
    </row>
    <row r="115" spans="1:10" ht="20.100000000000001" customHeight="1">
      <c r="A115" s="52"/>
      <c r="B115" s="219"/>
      <c r="C115" s="220"/>
      <c r="D115" s="221"/>
      <c r="E115" s="222"/>
      <c r="F115" s="55"/>
      <c r="G115" s="55"/>
      <c r="H115" s="27"/>
      <c r="I115" s="177"/>
      <c r="J115" s="24"/>
    </row>
    <row r="116" spans="1:10" ht="20.100000000000001" customHeight="1" thickBot="1">
      <c r="A116" s="41"/>
      <c r="B116" s="42">
        <v>4</v>
      </c>
      <c r="C116" s="43" t="s">
        <v>137</v>
      </c>
      <c r="D116" s="42"/>
      <c r="E116" s="44"/>
      <c r="F116" s="45"/>
      <c r="G116" s="45">
        <f>SUM(G117:G119)</f>
        <v>0</v>
      </c>
      <c r="H116" s="27"/>
      <c r="I116" s="177"/>
      <c r="J116" s="24"/>
    </row>
    <row r="117" spans="1:10" ht="20.100000000000001" customHeight="1" thickBot="1">
      <c r="A117" s="46">
        <v>37</v>
      </c>
      <c r="B117" s="47">
        <v>611325223</v>
      </c>
      <c r="C117" s="48" t="s">
        <v>273</v>
      </c>
      <c r="D117" s="47" t="s">
        <v>122</v>
      </c>
      <c r="E117" s="49">
        <v>1</v>
      </c>
      <c r="F117" s="50"/>
      <c r="G117" s="51">
        <f>ROUND(E117*F117,2)</f>
        <v>0</v>
      </c>
      <c r="H117" s="27">
        <v>4.1500000000000002E-2</v>
      </c>
      <c r="I117" s="177">
        <f>E117*H117</f>
        <v>4.1500000000000002E-2</v>
      </c>
      <c r="J117" s="24"/>
    </row>
    <row r="118" spans="1:10" ht="20.100000000000001" customHeight="1" thickBot="1">
      <c r="A118" s="41"/>
      <c r="B118" s="42"/>
      <c r="C118" s="214" t="s">
        <v>271</v>
      </c>
      <c r="D118" s="42"/>
      <c r="E118" s="218">
        <v>1</v>
      </c>
      <c r="F118" s="45"/>
      <c r="G118" s="45"/>
      <c r="H118" s="27"/>
      <c r="I118" s="177"/>
      <c r="J118" s="24"/>
    </row>
    <row r="119" spans="1:10" ht="20.100000000000001" customHeight="1" thickBot="1">
      <c r="A119" s="46">
        <v>38</v>
      </c>
      <c r="B119" s="47">
        <v>612325302</v>
      </c>
      <c r="C119" s="48" t="s">
        <v>272</v>
      </c>
      <c r="D119" s="47" t="s">
        <v>108</v>
      </c>
      <c r="E119" s="49">
        <f>E120</f>
        <v>0.93599999999999994</v>
      </c>
      <c r="F119" s="50"/>
      <c r="G119" s="51">
        <f>ROUND(E119*F119,2)</f>
        <v>0</v>
      </c>
      <c r="H119" s="27">
        <v>3.3579999999999999E-2</v>
      </c>
      <c r="I119" s="177">
        <f>E119*H119</f>
        <v>3.1430879999999994E-2</v>
      </c>
      <c r="J119" s="24"/>
    </row>
    <row r="120" spans="1:10" ht="20.100000000000001" customHeight="1">
      <c r="A120" s="41"/>
      <c r="B120" s="42"/>
      <c r="C120" s="214" t="s">
        <v>285</v>
      </c>
      <c r="D120" s="42"/>
      <c r="E120" s="218">
        <f>0.15*(1.48*2+1.64*2)</f>
        <v>0.93599999999999994</v>
      </c>
      <c r="F120" s="45"/>
      <c r="G120" s="45"/>
      <c r="H120" s="27"/>
      <c r="I120" s="177"/>
      <c r="J120" s="24"/>
    </row>
    <row r="121" spans="1:10" ht="20.100000000000001" customHeight="1">
      <c r="A121" s="41"/>
      <c r="B121" s="42"/>
      <c r="C121" s="214"/>
      <c r="D121" s="42"/>
      <c r="E121" s="218"/>
      <c r="F121" s="45"/>
      <c r="G121" s="45"/>
      <c r="H121" s="27"/>
      <c r="I121" s="177"/>
      <c r="J121" s="24"/>
    </row>
    <row r="122" spans="1:10" ht="20.100000000000001" customHeight="1" thickBot="1">
      <c r="A122" s="41"/>
      <c r="B122" s="42">
        <v>5</v>
      </c>
      <c r="C122" s="43" t="s">
        <v>139</v>
      </c>
      <c r="D122" s="42"/>
      <c r="E122" s="44"/>
      <c r="F122" s="45"/>
      <c r="G122" s="45">
        <f>SUM(G123:G244)</f>
        <v>0</v>
      </c>
      <c r="H122" s="27"/>
      <c r="I122" s="177"/>
      <c r="J122" s="24"/>
    </row>
    <row r="123" spans="1:10" ht="20.100000000000001" customHeight="1" thickBot="1">
      <c r="A123" s="46">
        <v>39</v>
      </c>
      <c r="B123" s="47">
        <v>629995215</v>
      </c>
      <c r="C123" s="48" t="s">
        <v>140</v>
      </c>
      <c r="D123" s="47" t="s">
        <v>108</v>
      </c>
      <c r="E123" s="49">
        <f>SUM(E124:E145)</f>
        <v>85.665300000000016</v>
      </c>
      <c r="F123" s="50"/>
      <c r="G123" s="51">
        <f>ROUND(E123*F123,2)</f>
        <v>0</v>
      </c>
      <c r="H123" s="27">
        <v>5.77E-3</v>
      </c>
      <c r="I123" s="177">
        <f>E123*H123</f>
        <v>0.49428878100000007</v>
      </c>
      <c r="J123" s="24"/>
    </row>
    <row r="124" spans="1:10" ht="20.100000000000001" customHeight="1">
      <c r="A124" s="38"/>
      <c r="B124" s="39" t="s">
        <v>349</v>
      </c>
      <c r="C124" s="229" t="s">
        <v>274</v>
      </c>
      <c r="D124" s="230"/>
      <c r="E124" s="231"/>
      <c r="F124" s="40"/>
      <c r="G124" s="40"/>
      <c r="H124" s="27"/>
      <c r="I124" s="177"/>
      <c r="J124" s="24"/>
    </row>
    <row r="125" spans="1:10" ht="20.100000000000001" customHeight="1">
      <c r="A125" s="29"/>
      <c r="B125" s="30"/>
      <c r="C125" s="214">
        <v>23.5</v>
      </c>
      <c r="D125" s="213"/>
      <c r="E125" s="215">
        <v>23.5</v>
      </c>
      <c r="F125" s="33"/>
      <c r="G125" s="223"/>
      <c r="H125" s="27"/>
      <c r="I125" s="177"/>
      <c r="J125" s="24"/>
    </row>
    <row r="126" spans="1:10" ht="20.100000000000001" customHeight="1">
      <c r="A126" s="29"/>
      <c r="B126" s="30"/>
      <c r="C126" s="214" t="s">
        <v>275</v>
      </c>
      <c r="D126" s="213"/>
      <c r="E126" s="215">
        <f>(0.5*0.77*-2+0.5*0.76*-2)</f>
        <v>-1.53</v>
      </c>
      <c r="F126" s="33"/>
      <c r="G126" s="33"/>
      <c r="H126" s="27"/>
      <c r="I126" s="177"/>
      <c r="J126" s="24"/>
    </row>
    <row r="127" spans="1:10" ht="20.100000000000001" customHeight="1">
      <c r="A127" s="29"/>
      <c r="B127" s="30" t="s">
        <v>349</v>
      </c>
      <c r="C127" s="232" t="s">
        <v>276</v>
      </c>
      <c r="D127" s="213"/>
      <c r="E127" s="215"/>
      <c r="F127" s="33"/>
      <c r="G127" s="33"/>
      <c r="H127" s="27"/>
      <c r="I127" s="177"/>
      <c r="J127" s="24"/>
    </row>
    <row r="128" spans="1:10" ht="20.100000000000001" customHeight="1">
      <c r="A128" s="29"/>
      <c r="B128" s="30"/>
      <c r="C128" s="214">
        <v>19.5</v>
      </c>
      <c r="D128" s="213"/>
      <c r="E128" s="215">
        <v>19.5</v>
      </c>
      <c r="F128" s="33"/>
      <c r="G128" s="33"/>
      <c r="H128" s="27"/>
      <c r="I128" s="177"/>
      <c r="J128" s="24"/>
    </row>
    <row r="129" spans="1:10" ht="20.100000000000001" customHeight="1">
      <c r="A129" s="29"/>
      <c r="B129" s="30"/>
      <c r="C129" s="214" t="s">
        <v>277</v>
      </c>
      <c r="D129" s="213"/>
      <c r="E129" s="215">
        <f>0.5*0.76*-1+1*1.9*-1</f>
        <v>-2.2799999999999998</v>
      </c>
      <c r="F129" s="33"/>
      <c r="G129" s="33"/>
      <c r="H129" s="27"/>
      <c r="I129" s="177"/>
      <c r="J129" s="24"/>
    </row>
    <row r="130" spans="1:10" ht="20.100000000000001" customHeight="1">
      <c r="A130" s="29"/>
      <c r="B130" s="30" t="s">
        <v>349</v>
      </c>
      <c r="C130" s="232" t="s">
        <v>278</v>
      </c>
      <c r="D130" s="213"/>
      <c r="E130" s="215"/>
      <c r="F130" s="33"/>
      <c r="G130" s="33"/>
      <c r="H130" s="27"/>
      <c r="I130" s="177"/>
      <c r="J130" s="24"/>
    </row>
    <row r="131" spans="1:10" ht="20.100000000000001" customHeight="1">
      <c r="A131" s="29"/>
      <c r="B131" s="30"/>
      <c r="C131" s="214">
        <v>20</v>
      </c>
      <c r="D131" s="213"/>
      <c r="E131" s="215">
        <v>20</v>
      </c>
      <c r="F131" s="33"/>
      <c r="G131" s="33"/>
      <c r="H131" s="27"/>
      <c r="I131" s="177"/>
      <c r="J131" s="24"/>
    </row>
    <row r="132" spans="1:10" ht="20.100000000000001" customHeight="1">
      <c r="A132" s="29"/>
      <c r="B132" s="30"/>
      <c r="C132" s="214" t="s">
        <v>279</v>
      </c>
      <c r="D132" s="213"/>
      <c r="E132" s="215">
        <f>0.86*0.9*-2+0.86*1.28*-2</f>
        <v>-3.7496</v>
      </c>
      <c r="F132" s="33"/>
      <c r="G132" s="33"/>
      <c r="H132" s="27"/>
      <c r="I132" s="177"/>
      <c r="J132" s="24"/>
    </row>
    <row r="133" spans="1:10" ht="20.100000000000001" customHeight="1">
      <c r="A133" s="29"/>
      <c r="B133" s="30" t="s">
        <v>349</v>
      </c>
      <c r="C133" s="232" t="s">
        <v>280</v>
      </c>
      <c r="D133" s="213"/>
      <c r="E133" s="215"/>
      <c r="F133" s="33"/>
      <c r="G133" s="33"/>
      <c r="H133" s="27"/>
      <c r="I133" s="177"/>
      <c r="J133" s="24"/>
    </row>
    <row r="134" spans="1:10" ht="20.100000000000001" customHeight="1">
      <c r="A134" s="29"/>
      <c r="B134" s="30"/>
      <c r="C134" s="214">
        <v>20.75</v>
      </c>
      <c r="D134" s="213"/>
      <c r="E134" s="215">
        <v>20.75</v>
      </c>
      <c r="F134" s="33"/>
      <c r="G134" s="33"/>
      <c r="H134" s="27"/>
      <c r="I134" s="177"/>
      <c r="J134" s="24"/>
    </row>
    <row r="135" spans="1:10" ht="20.100000000000001" customHeight="1">
      <c r="A135" s="29"/>
      <c r="B135" s="30"/>
      <c r="C135" s="214" t="s">
        <v>281</v>
      </c>
      <c r="D135" s="213"/>
      <c r="E135" s="215">
        <f>4*1.29*-1+0.51*0.8*-1</f>
        <v>-5.5680000000000005</v>
      </c>
      <c r="F135" s="33"/>
      <c r="G135" s="33"/>
      <c r="H135" s="27"/>
      <c r="I135" s="177"/>
      <c r="J135" s="24"/>
    </row>
    <row r="136" spans="1:10" ht="20.100000000000001" customHeight="1">
      <c r="A136" s="29"/>
      <c r="B136" s="30" t="s">
        <v>349</v>
      </c>
      <c r="C136" s="232" t="s">
        <v>184</v>
      </c>
      <c r="D136" s="213"/>
      <c r="E136" s="215"/>
      <c r="F136" s="33"/>
      <c r="G136" s="33"/>
      <c r="H136" s="27"/>
      <c r="I136" s="177"/>
      <c r="J136" s="24"/>
    </row>
    <row r="137" spans="1:10" ht="20.100000000000001" customHeight="1">
      <c r="A137" s="29"/>
      <c r="B137" s="30"/>
      <c r="C137" s="214" t="s">
        <v>282</v>
      </c>
      <c r="D137" s="213"/>
      <c r="E137" s="215">
        <f>7.2*0.61*1</f>
        <v>4.3920000000000003</v>
      </c>
      <c r="F137" s="33"/>
      <c r="G137" s="33"/>
      <c r="H137" s="27"/>
      <c r="I137" s="177"/>
      <c r="J137" s="24"/>
    </row>
    <row r="138" spans="1:10" ht="20.100000000000001" customHeight="1">
      <c r="A138" s="29"/>
      <c r="B138" s="30"/>
      <c r="C138" s="214" t="s">
        <v>283</v>
      </c>
      <c r="D138" s="213"/>
      <c r="E138" s="215">
        <f>1.39*0.61*-1</f>
        <v>-0.84789999999999988</v>
      </c>
      <c r="F138" s="33"/>
      <c r="G138" s="33"/>
      <c r="H138" s="27"/>
      <c r="I138" s="177"/>
      <c r="J138" s="24"/>
    </row>
    <row r="139" spans="1:10" ht="20.100000000000001" customHeight="1">
      <c r="A139" s="29"/>
      <c r="B139" s="30" t="s">
        <v>349</v>
      </c>
      <c r="C139" s="232" t="s">
        <v>284</v>
      </c>
      <c r="D139" s="213"/>
      <c r="E139" s="233">
        <f>0.15*(0.5*2+0.77*2+0.5*2+0.77*2+0.5*4+0.76*4)</f>
        <v>1.518</v>
      </c>
      <c r="F139" s="33"/>
      <c r="G139" s="33"/>
      <c r="H139" s="27"/>
      <c r="I139" s="177"/>
      <c r="J139" s="24"/>
    </row>
    <row r="140" spans="1:10" ht="20.100000000000001" customHeight="1">
      <c r="A140" s="29"/>
      <c r="B140" s="30"/>
      <c r="C140" s="214"/>
      <c r="D140" s="213"/>
      <c r="E140" s="233">
        <f>0.26*(1+1.9*2)</f>
        <v>1.248</v>
      </c>
      <c r="F140" s="33"/>
      <c r="G140" s="33"/>
      <c r="H140" s="27"/>
      <c r="I140" s="177"/>
      <c r="J140" s="24"/>
    </row>
    <row r="141" spans="1:10" ht="20.100000000000001" customHeight="1">
      <c r="A141" s="29"/>
      <c r="B141" s="30"/>
      <c r="C141" s="214"/>
      <c r="D141" s="213"/>
      <c r="E141" s="233">
        <f>0.25*(0.86*4+0.9*4+1.28*4)</f>
        <v>3.04</v>
      </c>
      <c r="F141" s="33"/>
      <c r="G141" s="33"/>
      <c r="H141" s="27"/>
      <c r="I141" s="177"/>
      <c r="J141" s="24"/>
    </row>
    <row r="142" spans="1:10" ht="20.100000000000001" customHeight="1">
      <c r="A142" s="29"/>
      <c r="B142" s="30"/>
      <c r="C142" s="214"/>
      <c r="D142" s="213"/>
      <c r="E142" s="234">
        <f>0.15*0.61*2</f>
        <v>0.183</v>
      </c>
      <c r="F142" s="33"/>
      <c r="G142" s="33"/>
      <c r="H142" s="27"/>
      <c r="I142" s="177"/>
      <c r="J142" s="24"/>
    </row>
    <row r="143" spans="1:10" ht="20.100000000000001" customHeight="1">
      <c r="A143" s="29"/>
      <c r="B143" s="30"/>
      <c r="C143" s="214"/>
      <c r="D143" s="213"/>
      <c r="E143" s="234">
        <f>0.55*1.9</f>
        <v>1.0449999999999999</v>
      </c>
      <c r="F143" s="33"/>
      <c r="G143" s="33"/>
      <c r="H143" s="27"/>
      <c r="I143" s="177"/>
      <c r="J143" s="24"/>
    </row>
    <row r="144" spans="1:10" ht="20.100000000000001" customHeight="1">
      <c r="A144" s="29"/>
      <c r="B144" s="30"/>
      <c r="C144" s="214"/>
      <c r="D144" s="213"/>
      <c r="E144" s="234">
        <f>0.4*0.61*2</f>
        <v>0.48799999999999999</v>
      </c>
      <c r="F144" s="33"/>
      <c r="G144" s="33"/>
      <c r="H144" s="27"/>
      <c r="I144" s="177"/>
      <c r="J144" s="24"/>
    </row>
    <row r="145" spans="1:10" ht="20.100000000000001" customHeight="1" thickBot="1">
      <c r="A145" s="29"/>
      <c r="B145" s="30" t="s">
        <v>349</v>
      </c>
      <c r="C145" s="232" t="s">
        <v>185</v>
      </c>
      <c r="D145" s="213"/>
      <c r="E145" s="233">
        <f>0.08*(7.4+0.45+5.85+5.71+7.2+0.4+0.4+0.45+11.05+3.94+0.95+0.04+5.87)</f>
        <v>3.9767999999999994</v>
      </c>
      <c r="F145" s="33"/>
      <c r="G145" s="33"/>
      <c r="H145" s="27"/>
      <c r="I145" s="177"/>
      <c r="J145" s="24"/>
    </row>
    <row r="146" spans="1:10" ht="20.100000000000001" customHeight="1" thickBot="1">
      <c r="A146" s="46">
        <v>40</v>
      </c>
      <c r="B146" s="47">
        <v>629995101</v>
      </c>
      <c r="C146" s="48" t="s">
        <v>141</v>
      </c>
      <c r="D146" s="47" t="s">
        <v>108</v>
      </c>
      <c r="E146" s="49">
        <f>E147+E160+E172+E181+E194</f>
        <v>357.31270000000001</v>
      </c>
      <c r="F146" s="50"/>
      <c r="G146" s="51">
        <f>ROUND(E146*F146,2)</f>
        <v>0</v>
      </c>
      <c r="H146" s="27"/>
      <c r="I146" s="177"/>
      <c r="J146" s="24"/>
    </row>
    <row r="147" spans="1:10" ht="20.100000000000001" customHeight="1">
      <c r="A147" s="235"/>
      <c r="B147" s="230"/>
      <c r="C147" s="229" t="s">
        <v>274</v>
      </c>
      <c r="D147" s="230"/>
      <c r="E147" s="237">
        <f>SUM(E148:E159)</f>
        <v>93.863099999999989</v>
      </c>
      <c r="F147" s="216"/>
      <c r="G147" s="216"/>
      <c r="H147" s="27"/>
      <c r="I147" s="177"/>
      <c r="J147" s="24"/>
    </row>
    <row r="148" spans="1:10" ht="20.100000000000001" customHeight="1">
      <c r="A148" s="212"/>
      <c r="B148" s="213" t="s">
        <v>287</v>
      </c>
      <c r="C148" s="214" t="s">
        <v>289</v>
      </c>
      <c r="D148" s="213"/>
      <c r="E148" s="215">
        <f>13.03*7*1</f>
        <v>91.21</v>
      </c>
      <c r="F148" s="216"/>
      <c r="G148" s="216"/>
      <c r="H148" s="27"/>
      <c r="I148" s="177"/>
      <c r="J148" s="24"/>
    </row>
    <row r="149" spans="1:10" ht="20.100000000000001" customHeight="1">
      <c r="A149" s="212"/>
      <c r="B149" s="213" t="s">
        <v>286</v>
      </c>
      <c r="C149" s="214" t="s">
        <v>288</v>
      </c>
      <c r="D149" s="213"/>
      <c r="E149" s="215">
        <f>2.71*2.3*1</f>
        <v>6.2329999999999997</v>
      </c>
      <c r="F149" s="216"/>
      <c r="G149" s="216"/>
      <c r="H149" s="27"/>
      <c r="I149" s="177"/>
      <c r="J149" s="24"/>
    </row>
    <row r="150" spans="1:10" ht="20.100000000000001" customHeight="1">
      <c r="A150" s="212"/>
      <c r="B150" s="213" t="s">
        <v>290</v>
      </c>
      <c r="C150" s="214" t="s">
        <v>291</v>
      </c>
      <c r="D150" s="213"/>
      <c r="E150" s="215">
        <f>2.2*2.3*0.5</f>
        <v>2.5299999999999998</v>
      </c>
      <c r="F150" s="216"/>
      <c r="G150" s="216"/>
      <c r="H150" s="27"/>
      <c r="I150" s="177"/>
      <c r="J150" s="24"/>
    </row>
    <row r="151" spans="1:10" ht="20.100000000000001" customHeight="1">
      <c r="A151" s="212"/>
      <c r="B151" s="213" t="s">
        <v>292</v>
      </c>
      <c r="C151" s="214" t="s">
        <v>293</v>
      </c>
      <c r="D151" s="213"/>
      <c r="E151" s="215">
        <f>13.03*0.4</f>
        <v>5.2119999999999997</v>
      </c>
      <c r="F151" s="216"/>
      <c r="G151" s="216"/>
      <c r="H151" s="27"/>
      <c r="I151" s="177"/>
      <c r="J151" s="24"/>
    </row>
    <row r="152" spans="1:10" ht="20.100000000000001" customHeight="1">
      <c r="A152" s="212"/>
      <c r="B152" s="213" t="s">
        <v>294</v>
      </c>
      <c r="C152" s="214" t="s">
        <v>295</v>
      </c>
      <c r="D152" s="213"/>
      <c r="E152" s="215">
        <f>2.71*0.3</f>
        <v>0.81299999999999994</v>
      </c>
      <c r="F152" s="216"/>
      <c r="G152" s="216"/>
      <c r="H152" s="27"/>
      <c r="I152" s="177"/>
      <c r="J152" s="24"/>
    </row>
    <row r="153" spans="1:10" ht="20.100000000000001" customHeight="1">
      <c r="A153" s="212"/>
      <c r="B153" s="213" t="s">
        <v>296</v>
      </c>
      <c r="C153" s="214" t="s">
        <v>297</v>
      </c>
      <c r="D153" s="213"/>
      <c r="E153" s="215">
        <f>2.2*0.3</f>
        <v>0.66</v>
      </c>
      <c r="F153" s="216"/>
      <c r="G153" s="216"/>
      <c r="H153" s="27"/>
      <c r="I153" s="177"/>
      <c r="J153" s="24"/>
    </row>
    <row r="154" spans="1:10" ht="20.100000000000001" customHeight="1">
      <c r="A154" s="212"/>
      <c r="B154" s="213" t="s">
        <v>179</v>
      </c>
      <c r="C154" s="214" t="s">
        <v>300</v>
      </c>
      <c r="D154" s="213"/>
      <c r="E154" s="215">
        <f>1.94*1.73*-1</f>
        <v>-3.3561999999999999</v>
      </c>
      <c r="F154" s="216"/>
      <c r="G154" s="216"/>
      <c r="H154" s="27"/>
      <c r="I154" s="177"/>
      <c r="J154" s="24"/>
    </row>
    <row r="155" spans="1:10" ht="20.100000000000001" customHeight="1">
      <c r="A155" s="212"/>
      <c r="B155" s="213" t="s">
        <v>179</v>
      </c>
      <c r="C155" s="214" t="s">
        <v>301</v>
      </c>
      <c r="D155" s="213"/>
      <c r="E155" s="215">
        <f>1.05*1.73*-1</f>
        <v>-1.8165</v>
      </c>
      <c r="F155" s="216"/>
      <c r="G155" s="216"/>
      <c r="H155" s="27"/>
      <c r="I155" s="177"/>
      <c r="J155" s="24"/>
    </row>
    <row r="156" spans="1:10" ht="20.100000000000001" customHeight="1">
      <c r="A156" s="212"/>
      <c r="B156" s="213" t="s">
        <v>298</v>
      </c>
      <c r="C156" s="214" t="s">
        <v>302</v>
      </c>
      <c r="D156" s="213"/>
      <c r="E156" s="215">
        <f>1.05*2.59*-1</f>
        <v>-2.7195</v>
      </c>
      <c r="F156" s="216"/>
      <c r="G156" s="216"/>
      <c r="H156" s="27"/>
      <c r="I156" s="177"/>
      <c r="J156" s="24"/>
    </row>
    <row r="157" spans="1:10" ht="20.100000000000001" customHeight="1">
      <c r="A157" s="212"/>
      <c r="B157" s="213" t="s">
        <v>299</v>
      </c>
      <c r="C157" s="214" t="s">
        <v>303</v>
      </c>
      <c r="D157" s="213"/>
      <c r="E157" s="215">
        <f>0.85*1.51*-1</f>
        <v>-1.2834999999999999</v>
      </c>
      <c r="F157" s="216"/>
      <c r="G157" s="216"/>
      <c r="H157" s="27"/>
      <c r="I157" s="177"/>
      <c r="J157" s="24"/>
    </row>
    <row r="158" spans="1:10" ht="20.100000000000001" customHeight="1">
      <c r="A158" s="212"/>
      <c r="B158" s="213" t="s">
        <v>304</v>
      </c>
      <c r="C158" s="214" t="s">
        <v>305</v>
      </c>
      <c r="D158" s="213"/>
      <c r="E158" s="215">
        <f>0.84*1.51*-2</f>
        <v>-2.5367999999999999</v>
      </c>
      <c r="F158" s="216"/>
      <c r="G158" s="216"/>
      <c r="H158" s="27"/>
      <c r="I158" s="177"/>
      <c r="J158" s="24"/>
    </row>
    <row r="159" spans="1:10" ht="20.100000000000001" customHeight="1">
      <c r="A159" s="212"/>
      <c r="B159" s="213" t="s">
        <v>306</v>
      </c>
      <c r="C159" s="214" t="s">
        <v>307</v>
      </c>
      <c r="D159" s="213"/>
      <c r="E159" s="215">
        <f>0.88*1.23*-1</f>
        <v>-1.0824</v>
      </c>
      <c r="F159" s="216"/>
      <c r="G159" s="216"/>
      <c r="H159" s="27"/>
      <c r="I159" s="177"/>
      <c r="J159" s="24"/>
    </row>
    <row r="160" spans="1:10" ht="20.100000000000001" customHeight="1">
      <c r="A160" s="29"/>
      <c r="B160" s="30"/>
      <c r="C160" s="232" t="s">
        <v>276</v>
      </c>
      <c r="D160" s="213"/>
      <c r="E160" s="236">
        <f>SUM(E161:E171)</f>
        <v>77.951699999999988</v>
      </c>
      <c r="F160" s="55"/>
      <c r="G160" s="55"/>
      <c r="H160" s="27"/>
      <c r="I160" s="177"/>
      <c r="J160" s="24"/>
    </row>
    <row r="161" spans="1:10" ht="20.100000000000001" customHeight="1">
      <c r="A161" s="212"/>
      <c r="B161" s="213" t="s">
        <v>287</v>
      </c>
      <c r="C161" s="214" t="s">
        <v>308</v>
      </c>
      <c r="D161" s="213"/>
      <c r="E161" s="215">
        <f>5.67*7*1</f>
        <v>39.69</v>
      </c>
      <c r="F161" s="55"/>
      <c r="G161" s="55"/>
      <c r="H161" s="27"/>
      <c r="I161" s="177"/>
      <c r="J161" s="24"/>
    </row>
    <row r="162" spans="1:10" ht="20.100000000000001" customHeight="1">
      <c r="A162" s="212"/>
      <c r="B162" s="213" t="s">
        <v>287</v>
      </c>
      <c r="C162" s="214" t="s">
        <v>309</v>
      </c>
      <c r="D162" s="213"/>
      <c r="E162" s="215">
        <f>4.92*7*1</f>
        <v>34.44</v>
      </c>
      <c r="F162" s="55"/>
      <c r="G162" s="55"/>
      <c r="H162" s="27"/>
      <c r="I162" s="177"/>
      <c r="J162" s="24"/>
    </row>
    <row r="163" spans="1:10" ht="20.100000000000001" customHeight="1">
      <c r="A163" s="212"/>
      <c r="B163" s="213" t="s">
        <v>182</v>
      </c>
      <c r="C163" s="214" t="s">
        <v>310</v>
      </c>
      <c r="D163" s="213"/>
      <c r="E163" s="215">
        <f>2.2*2.3*0.5</f>
        <v>2.5299999999999998</v>
      </c>
      <c r="F163" s="55"/>
      <c r="G163" s="55"/>
      <c r="H163" s="27"/>
      <c r="I163" s="177"/>
      <c r="J163" s="24"/>
    </row>
    <row r="164" spans="1:10" ht="20.100000000000001" customHeight="1">
      <c r="A164" s="212"/>
      <c r="B164" s="213" t="s">
        <v>179</v>
      </c>
      <c r="C164" s="214" t="s">
        <v>311</v>
      </c>
      <c r="D164" s="213"/>
      <c r="E164" s="215">
        <f>1.04*0.53*-2</f>
        <v>-1.1024</v>
      </c>
      <c r="F164" s="55"/>
      <c r="G164" s="55"/>
      <c r="H164" s="27"/>
      <c r="I164" s="177"/>
      <c r="J164" s="24"/>
    </row>
    <row r="165" spans="1:10" ht="20.100000000000001" customHeight="1">
      <c r="A165" s="212"/>
      <c r="B165" s="213" t="s">
        <v>179</v>
      </c>
      <c r="C165" s="214" t="s">
        <v>301</v>
      </c>
      <c r="D165" s="213"/>
      <c r="E165" s="215">
        <f>1.05*1.73*-1</f>
        <v>-1.8165</v>
      </c>
      <c r="F165" s="55"/>
      <c r="G165" s="55"/>
      <c r="H165" s="27"/>
      <c r="I165" s="177"/>
      <c r="J165" s="24"/>
    </row>
    <row r="166" spans="1:10" ht="20.100000000000001" customHeight="1">
      <c r="A166" s="212"/>
      <c r="B166" s="213" t="s">
        <v>180</v>
      </c>
      <c r="C166" s="214" t="s">
        <v>312</v>
      </c>
      <c r="D166" s="213"/>
      <c r="E166" s="215">
        <f>1.48*1.64*-2</f>
        <v>-4.8544</v>
      </c>
      <c r="F166" s="55"/>
      <c r="G166" s="55"/>
      <c r="H166" s="27"/>
      <c r="I166" s="177"/>
      <c r="J166" s="24"/>
    </row>
    <row r="167" spans="1:10" ht="20.100000000000001" customHeight="1">
      <c r="A167" s="212"/>
      <c r="B167" s="213" t="s">
        <v>298</v>
      </c>
      <c r="C167" s="214" t="s">
        <v>313</v>
      </c>
      <c r="D167" s="213"/>
      <c r="E167" s="215">
        <f>1.05*2.22*-1</f>
        <v>-2.3310000000000004</v>
      </c>
      <c r="F167" s="55"/>
      <c r="G167" s="55"/>
      <c r="H167" s="27"/>
      <c r="I167" s="177"/>
      <c r="J167" s="24"/>
    </row>
    <row r="168" spans="1:10" ht="20.100000000000001" customHeight="1">
      <c r="A168" s="29"/>
      <c r="B168" s="213" t="s">
        <v>292</v>
      </c>
      <c r="C168" s="214" t="s">
        <v>314</v>
      </c>
      <c r="D168" s="213"/>
      <c r="E168" s="215">
        <f>5.67*0.4</f>
        <v>2.2680000000000002</v>
      </c>
      <c r="F168" s="55"/>
      <c r="G168" s="55"/>
      <c r="H168" s="27"/>
      <c r="I168" s="177"/>
      <c r="J168" s="24"/>
    </row>
    <row r="169" spans="1:10" ht="20.100000000000001" customHeight="1">
      <c r="A169" s="29"/>
      <c r="B169" s="213" t="s">
        <v>292</v>
      </c>
      <c r="C169" s="214" t="s">
        <v>315</v>
      </c>
      <c r="D169" s="213"/>
      <c r="E169" s="215">
        <f>4.92*0.4</f>
        <v>1.968</v>
      </c>
      <c r="F169" s="55"/>
      <c r="G169" s="55"/>
      <c r="H169" s="27"/>
      <c r="I169" s="177"/>
      <c r="J169" s="24"/>
    </row>
    <row r="170" spans="1:10" ht="20.100000000000001" customHeight="1">
      <c r="A170" s="29"/>
      <c r="B170" s="213" t="s">
        <v>294</v>
      </c>
      <c r="C170" s="214" t="s">
        <v>316</v>
      </c>
      <c r="D170" s="213"/>
      <c r="E170" s="215">
        <f>2.2*0.3</f>
        <v>0.66</v>
      </c>
      <c r="F170" s="55"/>
      <c r="G170" s="55"/>
      <c r="H170" s="27"/>
      <c r="I170" s="177"/>
      <c r="J170" s="24"/>
    </row>
    <row r="171" spans="1:10" ht="20.100000000000001" customHeight="1">
      <c r="A171" s="29"/>
      <c r="B171" s="213" t="s">
        <v>320</v>
      </c>
      <c r="C171" s="214">
        <v>6.5</v>
      </c>
      <c r="D171" s="213"/>
      <c r="E171" s="215">
        <v>6.5</v>
      </c>
      <c r="F171" s="55"/>
      <c r="G171" s="55"/>
      <c r="H171" s="27"/>
      <c r="I171" s="177"/>
      <c r="J171" s="24"/>
    </row>
    <row r="172" spans="1:10" ht="20.100000000000001" customHeight="1">
      <c r="A172" s="212"/>
      <c r="B172" s="213"/>
      <c r="C172" s="232" t="s">
        <v>278</v>
      </c>
      <c r="D172" s="213"/>
      <c r="E172" s="238">
        <f>SUM(E173:E180)</f>
        <v>81.551200000000009</v>
      </c>
      <c r="F172" s="55"/>
      <c r="G172" s="55"/>
      <c r="H172" s="27"/>
      <c r="I172" s="177"/>
      <c r="J172" s="24"/>
    </row>
    <row r="173" spans="1:10" ht="20.100000000000001" customHeight="1">
      <c r="A173" s="212"/>
      <c r="B173" s="213" t="s">
        <v>287</v>
      </c>
      <c r="C173" s="214" t="s">
        <v>289</v>
      </c>
      <c r="D173" s="213"/>
      <c r="E173" s="215">
        <f>13.03*7*1</f>
        <v>91.21</v>
      </c>
      <c r="F173" s="55"/>
      <c r="G173" s="55"/>
      <c r="H173" s="27"/>
      <c r="I173" s="177"/>
      <c r="J173" s="24"/>
    </row>
    <row r="174" spans="1:10" ht="20.100000000000001" customHeight="1">
      <c r="A174" s="212"/>
      <c r="B174" s="213" t="s">
        <v>290</v>
      </c>
      <c r="C174" s="214" t="s">
        <v>291</v>
      </c>
      <c r="D174" s="213"/>
      <c r="E174" s="215">
        <f>2.2*2.3*0.5</f>
        <v>2.5299999999999998</v>
      </c>
      <c r="F174" s="55"/>
      <c r="G174" s="55"/>
      <c r="H174" s="27"/>
      <c r="I174" s="177"/>
      <c r="J174" s="24"/>
    </row>
    <row r="175" spans="1:10" ht="20.100000000000001" customHeight="1">
      <c r="A175" s="212"/>
      <c r="B175" s="213" t="s">
        <v>292</v>
      </c>
      <c r="C175" s="214" t="s">
        <v>293</v>
      </c>
      <c r="D175" s="213"/>
      <c r="E175" s="215">
        <f>13.03*0.4</f>
        <v>5.2119999999999997</v>
      </c>
      <c r="F175" s="55"/>
      <c r="G175" s="55"/>
      <c r="H175" s="27"/>
      <c r="I175" s="177"/>
      <c r="J175" s="24"/>
    </row>
    <row r="176" spans="1:10" ht="20.100000000000001" customHeight="1">
      <c r="A176" s="212"/>
      <c r="B176" s="213" t="s">
        <v>296</v>
      </c>
      <c r="C176" s="214" t="s">
        <v>297</v>
      </c>
      <c r="D176" s="213"/>
      <c r="E176" s="215">
        <f>2.2*0.3</f>
        <v>0.66</v>
      </c>
      <c r="F176" s="55"/>
      <c r="G176" s="55"/>
      <c r="H176" s="27"/>
      <c r="I176" s="177"/>
      <c r="J176" s="24"/>
    </row>
    <row r="177" spans="1:10" ht="20.100000000000001" customHeight="1">
      <c r="A177" s="212"/>
      <c r="B177" s="213" t="s">
        <v>179</v>
      </c>
      <c r="C177" s="214" t="s">
        <v>317</v>
      </c>
      <c r="D177" s="213"/>
      <c r="E177" s="215">
        <f>1.05*1.73*-8</f>
        <v>-14.532</v>
      </c>
      <c r="F177" s="55"/>
      <c r="G177" s="55"/>
      <c r="H177" s="27"/>
      <c r="I177" s="177"/>
      <c r="J177" s="24"/>
    </row>
    <row r="178" spans="1:10" ht="20.100000000000001" customHeight="1">
      <c r="A178" s="212"/>
      <c r="B178" s="213" t="s">
        <v>181</v>
      </c>
      <c r="C178" s="214" t="s">
        <v>318</v>
      </c>
      <c r="D178" s="213"/>
      <c r="E178" s="215">
        <f>1.24*2.8*-1</f>
        <v>-3.472</v>
      </c>
      <c r="F178" s="55"/>
      <c r="G178" s="55"/>
      <c r="H178" s="27"/>
      <c r="I178" s="177"/>
      <c r="J178" s="24"/>
    </row>
    <row r="179" spans="1:10" ht="20.100000000000001" customHeight="1">
      <c r="A179" s="212"/>
      <c r="B179" s="213" t="s">
        <v>299</v>
      </c>
      <c r="C179" s="214" t="s">
        <v>319</v>
      </c>
      <c r="D179" s="213"/>
      <c r="E179" s="215">
        <f>1.52*2.34*-1</f>
        <v>-3.5568</v>
      </c>
      <c r="F179" s="55"/>
      <c r="G179" s="55"/>
      <c r="H179" s="27"/>
      <c r="I179" s="177"/>
      <c r="J179" s="24"/>
    </row>
    <row r="180" spans="1:10" ht="20.100000000000001" customHeight="1">
      <c r="A180" s="29"/>
      <c r="B180" s="213" t="s">
        <v>320</v>
      </c>
      <c r="C180" s="214">
        <v>3.5</v>
      </c>
      <c r="D180" s="213"/>
      <c r="E180" s="215">
        <v>3.5</v>
      </c>
      <c r="F180" s="55"/>
      <c r="G180" s="55"/>
      <c r="H180" s="27"/>
      <c r="I180" s="177"/>
      <c r="J180" s="24"/>
    </row>
    <row r="181" spans="1:10" ht="20.100000000000001" customHeight="1">
      <c r="A181" s="29"/>
      <c r="B181" s="30"/>
      <c r="C181" s="232" t="s">
        <v>280</v>
      </c>
      <c r="D181" s="213"/>
      <c r="E181" s="236">
        <f>SUM(E182:E193)</f>
        <v>76.246700000000018</v>
      </c>
      <c r="F181" s="55"/>
      <c r="G181" s="55"/>
      <c r="H181" s="27"/>
      <c r="I181" s="177"/>
      <c r="J181" s="24"/>
    </row>
    <row r="182" spans="1:10" ht="20.100000000000001" customHeight="1">
      <c r="A182" s="29"/>
      <c r="B182" s="213" t="s">
        <v>287</v>
      </c>
      <c r="C182" s="214" t="s">
        <v>321</v>
      </c>
      <c r="D182" s="213"/>
      <c r="E182" s="215">
        <f>10.14*7*1</f>
        <v>70.98</v>
      </c>
      <c r="F182" s="216"/>
      <c r="G182" s="55"/>
      <c r="H182" s="27"/>
      <c r="I182" s="177"/>
      <c r="J182" s="24"/>
    </row>
    <row r="183" spans="1:10" ht="20.100000000000001" customHeight="1">
      <c r="A183" s="29"/>
      <c r="B183" s="213" t="s">
        <v>183</v>
      </c>
      <c r="C183" s="214" t="s">
        <v>322</v>
      </c>
      <c r="D183" s="213"/>
      <c r="E183" s="215">
        <f>0.45*7*1</f>
        <v>3.15</v>
      </c>
      <c r="F183" s="216"/>
      <c r="G183" s="55"/>
      <c r="H183" s="27"/>
      <c r="I183" s="177"/>
      <c r="J183" s="24"/>
    </row>
    <row r="184" spans="1:10" ht="20.100000000000001" customHeight="1">
      <c r="A184" s="52"/>
      <c r="B184" s="213" t="s">
        <v>323</v>
      </c>
      <c r="C184" s="214" t="s">
        <v>324</v>
      </c>
      <c r="D184" s="213"/>
      <c r="E184" s="218">
        <f>5.24*2.3*1</f>
        <v>12.052</v>
      </c>
      <c r="F184" s="216"/>
      <c r="G184" s="55"/>
      <c r="H184" s="27"/>
      <c r="I184" s="177"/>
      <c r="J184" s="24"/>
    </row>
    <row r="185" spans="1:10" ht="20.100000000000001" customHeight="1">
      <c r="A185" s="52"/>
      <c r="B185" s="213" t="s">
        <v>182</v>
      </c>
      <c r="C185" s="214" t="s">
        <v>310</v>
      </c>
      <c r="D185" s="213"/>
      <c r="E185" s="218">
        <f>2.2*2.3*0.5</f>
        <v>2.5299999999999998</v>
      </c>
      <c r="F185" s="216"/>
      <c r="G185" s="55"/>
      <c r="H185" s="27"/>
      <c r="I185" s="177"/>
      <c r="J185" s="24"/>
    </row>
    <row r="186" spans="1:10" ht="20.100000000000001" customHeight="1">
      <c r="A186" s="52"/>
      <c r="B186" s="213" t="s">
        <v>292</v>
      </c>
      <c r="C186" s="214" t="s">
        <v>325</v>
      </c>
      <c r="D186" s="213"/>
      <c r="E186" s="215">
        <f>10.14*0.4</f>
        <v>4.056</v>
      </c>
      <c r="F186" s="216"/>
      <c r="G186" s="55"/>
      <c r="H186" s="27"/>
      <c r="I186" s="177"/>
      <c r="J186" s="24"/>
    </row>
    <row r="187" spans="1:10" ht="20.100000000000001" customHeight="1">
      <c r="A187" s="52"/>
      <c r="B187" s="213" t="s">
        <v>296</v>
      </c>
      <c r="C187" s="214" t="s">
        <v>326</v>
      </c>
      <c r="D187" s="213"/>
      <c r="E187" s="215">
        <f>5.24*0.3</f>
        <v>1.5720000000000001</v>
      </c>
      <c r="F187" s="216"/>
      <c r="G187" s="55"/>
      <c r="H187" s="27"/>
      <c r="I187" s="177"/>
      <c r="J187" s="24"/>
    </row>
    <row r="188" spans="1:10" ht="20.100000000000001" customHeight="1">
      <c r="A188" s="52"/>
      <c r="B188" s="213" t="s">
        <v>294</v>
      </c>
      <c r="C188" s="214" t="s">
        <v>327</v>
      </c>
      <c r="D188" s="213"/>
      <c r="E188" s="218">
        <f>2.2*0.3</f>
        <v>0.66</v>
      </c>
      <c r="F188" s="216"/>
      <c r="G188" s="55"/>
      <c r="H188" s="27"/>
      <c r="I188" s="177"/>
      <c r="J188" s="24"/>
    </row>
    <row r="189" spans="1:10" ht="20.100000000000001" customHeight="1">
      <c r="A189" s="52"/>
      <c r="B189" s="213" t="s">
        <v>328</v>
      </c>
      <c r="C189" s="214" t="s">
        <v>329</v>
      </c>
      <c r="D189" s="213"/>
      <c r="E189" s="218">
        <f>4*3*-1</f>
        <v>-12</v>
      </c>
      <c r="F189" s="216"/>
      <c r="G189" s="55"/>
      <c r="H189" s="27"/>
      <c r="I189" s="177"/>
      <c r="J189" s="24"/>
    </row>
    <row r="190" spans="1:10" ht="20.100000000000001" customHeight="1">
      <c r="A190" s="52"/>
      <c r="B190" s="213" t="s">
        <v>298</v>
      </c>
      <c r="C190" s="214" t="s">
        <v>334</v>
      </c>
      <c r="D190" s="213"/>
      <c r="E190" s="215">
        <f>0.85*2.32*-1</f>
        <v>-1.9719999999999998</v>
      </c>
      <c r="F190" s="216"/>
      <c r="G190" s="55"/>
      <c r="H190" s="27"/>
      <c r="I190" s="177"/>
      <c r="J190" s="24"/>
    </row>
    <row r="191" spans="1:10" ht="20.100000000000001" customHeight="1">
      <c r="A191" s="52"/>
      <c r="B191" s="213" t="s">
        <v>179</v>
      </c>
      <c r="C191" s="214" t="s">
        <v>301</v>
      </c>
      <c r="D191" s="213"/>
      <c r="E191" s="215">
        <f>1.05*1.73*-1</f>
        <v>-1.8165</v>
      </c>
      <c r="F191" s="216"/>
      <c r="G191" s="55"/>
      <c r="H191" s="27"/>
      <c r="I191" s="177"/>
      <c r="J191" s="24"/>
    </row>
    <row r="192" spans="1:10" ht="20.100000000000001" customHeight="1">
      <c r="A192" s="52"/>
      <c r="B192" s="213" t="s">
        <v>179</v>
      </c>
      <c r="C192" s="214" t="s">
        <v>335</v>
      </c>
      <c r="D192" s="213"/>
      <c r="E192" s="215">
        <f>0.5*0.8*-2</f>
        <v>-0.8</v>
      </c>
      <c r="F192" s="216"/>
      <c r="G192" s="55"/>
      <c r="H192" s="27"/>
      <c r="I192" s="177"/>
      <c r="J192" s="24"/>
    </row>
    <row r="193" spans="1:10" ht="20.100000000000001" customHeight="1">
      <c r="A193" s="52"/>
      <c r="B193" s="213" t="s">
        <v>333</v>
      </c>
      <c r="C193" s="214" t="s">
        <v>336</v>
      </c>
      <c r="D193" s="213"/>
      <c r="E193" s="215">
        <f>0.88*1.23*-2</f>
        <v>-2.1648000000000001</v>
      </c>
      <c r="F193" s="216"/>
      <c r="G193" s="55"/>
      <c r="H193" s="27"/>
      <c r="I193" s="177"/>
      <c r="J193" s="24"/>
    </row>
    <row r="194" spans="1:10" ht="20.100000000000001" customHeight="1">
      <c r="A194" s="52"/>
      <c r="B194" s="30"/>
      <c r="C194" s="232" t="s">
        <v>184</v>
      </c>
      <c r="D194" s="213"/>
      <c r="E194" s="236">
        <f>SUM(E195:E198)</f>
        <v>27.699999999999996</v>
      </c>
      <c r="F194" s="216"/>
      <c r="G194" s="55"/>
      <c r="H194" s="27"/>
      <c r="I194" s="177"/>
      <c r="J194" s="24"/>
    </row>
    <row r="195" spans="1:10" ht="20.100000000000001" customHeight="1">
      <c r="A195" s="52"/>
      <c r="B195" s="213" t="s">
        <v>184</v>
      </c>
      <c r="C195" s="214" t="s">
        <v>330</v>
      </c>
      <c r="D195" s="213"/>
      <c r="E195" s="215">
        <f>7.2*4.3*1</f>
        <v>30.96</v>
      </c>
      <c r="F195" s="216"/>
      <c r="G195" s="55"/>
      <c r="H195" s="27"/>
      <c r="I195" s="177"/>
      <c r="J195" s="24"/>
    </row>
    <row r="196" spans="1:10" ht="20.100000000000001" customHeight="1">
      <c r="A196" s="52"/>
      <c r="B196" s="213" t="s">
        <v>331</v>
      </c>
      <c r="C196" s="214" t="s">
        <v>332</v>
      </c>
      <c r="D196" s="213"/>
      <c r="E196" s="215">
        <f>0.4*4.3*2</f>
        <v>3.44</v>
      </c>
      <c r="F196" s="216"/>
      <c r="G196" s="55"/>
      <c r="H196" s="27"/>
      <c r="I196" s="177"/>
      <c r="J196" s="24"/>
    </row>
    <row r="197" spans="1:10" ht="20.100000000000001" customHeight="1">
      <c r="A197" s="52"/>
      <c r="B197" s="213" t="s">
        <v>337</v>
      </c>
      <c r="C197" s="214" t="s">
        <v>338</v>
      </c>
      <c r="D197" s="213"/>
      <c r="E197" s="218">
        <f>2.6*1.75*-2</f>
        <v>-9.1</v>
      </c>
      <c r="F197" s="216"/>
      <c r="G197" s="55"/>
      <c r="H197" s="27"/>
      <c r="I197" s="177"/>
      <c r="J197" s="24"/>
    </row>
    <row r="198" spans="1:10" ht="20.100000000000001" customHeight="1">
      <c r="A198" s="52"/>
      <c r="B198" s="213" t="s">
        <v>339</v>
      </c>
      <c r="C198" s="214" t="s">
        <v>340</v>
      </c>
      <c r="D198" s="213"/>
      <c r="E198" s="218">
        <f>0.3*(0.4+7.2+0.4)</f>
        <v>2.4</v>
      </c>
      <c r="F198" s="216"/>
      <c r="G198" s="55"/>
      <c r="H198" s="27"/>
      <c r="I198" s="177"/>
      <c r="J198" s="24"/>
    </row>
    <row r="199" spans="1:10" ht="20.100000000000001" customHeight="1" thickBot="1">
      <c r="A199" s="52"/>
      <c r="B199" s="213"/>
      <c r="C199" s="214"/>
      <c r="D199" s="213"/>
      <c r="E199" s="218"/>
      <c r="F199" s="216"/>
      <c r="G199" s="55"/>
      <c r="H199" s="27"/>
      <c r="I199" s="177"/>
      <c r="J199" s="24"/>
    </row>
    <row r="200" spans="1:10" ht="20.100000000000001" customHeight="1" thickBot="1">
      <c r="A200" s="46">
        <v>41</v>
      </c>
      <c r="B200" s="47">
        <v>319201321</v>
      </c>
      <c r="C200" s="48" t="s">
        <v>343</v>
      </c>
      <c r="D200" s="47" t="s">
        <v>108</v>
      </c>
      <c r="E200" s="49">
        <f>SUM(E201:E206)</f>
        <v>38.430399999999992</v>
      </c>
      <c r="F200" s="50"/>
      <c r="G200" s="51">
        <f>ROUND(E200*F200,2)</f>
        <v>0</v>
      </c>
      <c r="H200" s="27">
        <v>2.8570000000000002E-2</v>
      </c>
      <c r="I200" s="177">
        <f>E200*H200</f>
        <v>1.0979565279999999</v>
      </c>
      <c r="J200" s="24"/>
    </row>
    <row r="201" spans="1:10" ht="20.100000000000001" customHeight="1">
      <c r="A201" s="52"/>
      <c r="B201" s="213" t="s">
        <v>344</v>
      </c>
      <c r="C201" s="214" t="s">
        <v>360</v>
      </c>
      <c r="D201" s="53"/>
      <c r="E201" s="215">
        <f>0.2*(1.05+1.73*2)*8+1.52+2.34*2+2.6*1.75*2</f>
        <v>22.515999999999998</v>
      </c>
      <c r="F201" s="55"/>
      <c r="G201" s="55"/>
      <c r="H201" s="27"/>
      <c r="I201" s="177"/>
      <c r="J201" s="24"/>
    </row>
    <row r="202" spans="1:10" ht="20.100000000000001" customHeight="1">
      <c r="A202" s="52"/>
      <c r="B202" s="213" t="s">
        <v>345</v>
      </c>
      <c r="C202" s="214" t="s">
        <v>361</v>
      </c>
      <c r="D202" s="53"/>
      <c r="E202" s="215">
        <f>0.2*(0.5+0.8*2+1.05+1.73*2+0.5*0.8*2+1.02*2.5*2+1.05+2.53*2)</f>
        <v>3.7240000000000002</v>
      </c>
      <c r="F202" s="55"/>
      <c r="G202" s="55"/>
      <c r="H202" s="27"/>
      <c r="I202" s="177"/>
      <c r="J202" s="24"/>
    </row>
    <row r="203" spans="1:10" ht="20.100000000000001" customHeight="1">
      <c r="A203" s="52"/>
      <c r="B203" s="213" t="s">
        <v>345</v>
      </c>
      <c r="C203" s="214" t="s">
        <v>362</v>
      </c>
      <c r="D203" s="53"/>
      <c r="E203" s="215">
        <f>0.2*(0.88+1.23*2+0.88+1.23*2)</f>
        <v>1.3360000000000001</v>
      </c>
      <c r="F203" s="55"/>
      <c r="G203" s="55"/>
      <c r="H203" s="27"/>
      <c r="I203" s="177"/>
      <c r="J203" s="24"/>
    </row>
    <row r="204" spans="1:10" ht="20.100000000000001" customHeight="1">
      <c r="A204" s="52"/>
      <c r="B204" s="213" t="s">
        <v>346</v>
      </c>
      <c r="C204" s="214" t="s">
        <v>363</v>
      </c>
      <c r="D204" s="53"/>
      <c r="E204" s="215">
        <f>0.2*(1.94+1.73*2+1.05*1.73*2+0.84+1.51*2+0.84+1.51*2+0.85+1.51*2)</f>
        <v>4.1246</v>
      </c>
      <c r="F204" s="55"/>
      <c r="G204" s="55"/>
      <c r="H204" s="27"/>
      <c r="I204" s="177"/>
      <c r="J204" s="24"/>
    </row>
    <row r="205" spans="1:10" ht="20.100000000000001" customHeight="1">
      <c r="A205" s="52"/>
      <c r="B205" s="213" t="s">
        <v>346</v>
      </c>
      <c r="C205" s="214" t="s">
        <v>364</v>
      </c>
      <c r="D205" s="53"/>
      <c r="E205" s="215">
        <f>0.2*(1.05*2.59*2+0.88+1.23*2)</f>
        <v>1.7558</v>
      </c>
      <c r="F205" s="55"/>
      <c r="G205" s="55"/>
      <c r="H205" s="27"/>
      <c r="I205" s="177"/>
      <c r="J205" s="24"/>
    </row>
    <row r="206" spans="1:10" ht="20.100000000000001" customHeight="1" thickBot="1">
      <c r="A206" s="52"/>
      <c r="B206" s="213" t="s">
        <v>347</v>
      </c>
      <c r="C206" s="214" t="s">
        <v>365</v>
      </c>
      <c r="D206" s="53"/>
      <c r="E206" s="215">
        <f>0.2*(1.04+0.53*2+1.04+0.53*2+1.05+1.73*2+1.48+1.64*2+1.48+1.64*2+1.36+2.64*2)</f>
        <v>4.9740000000000002</v>
      </c>
      <c r="F206" s="55"/>
      <c r="G206" s="55"/>
      <c r="H206" s="27"/>
      <c r="I206" s="177"/>
      <c r="J206" s="24"/>
    </row>
    <row r="207" spans="1:10" ht="20.100000000000001" customHeight="1" thickBot="1">
      <c r="A207" s="46">
        <v>42</v>
      </c>
      <c r="B207" s="47">
        <v>460941222</v>
      </c>
      <c r="C207" s="48" t="s">
        <v>174</v>
      </c>
      <c r="D207" s="47" t="s">
        <v>0</v>
      </c>
      <c r="E207" s="49">
        <f>E92</f>
        <v>120</v>
      </c>
      <c r="F207" s="50"/>
      <c r="G207" s="51">
        <f>ROUND(E207*F207,2)</f>
        <v>0</v>
      </c>
      <c r="H207" s="27">
        <v>5.9999999999999995E-4</v>
      </c>
      <c r="I207" s="177">
        <f>E207*H207</f>
        <v>7.1999999999999995E-2</v>
      </c>
      <c r="J207" s="24"/>
    </row>
    <row r="208" spans="1:10" ht="20.100000000000001" customHeight="1" thickBot="1">
      <c r="A208" s="29"/>
      <c r="B208" s="30"/>
      <c r="C208" s="31"/>
      <c r="D208" s="30"/>
      <c r="E208" s="32"/>
      <c r="F208" s="33"/>
      <c r="G208" s="33"/>
      <c r="H208" s="27"/>
      <c r="I208" s="177"/>
      <c r="J208" s="24"/>
    </row>
    <row r="209" spans="1:10" ht="20.100000000000001" customHeight="1" thickBot="1">
      <c r="A209" s="46">
        <v>43</v>
      </c>
      <c r="B209" s="47">
        <v>622131101</v>
      </c>
      <c r="C209" s="48" t="s">
        <v>348</v>
      </c>
      <c r="D209" s="47" t="s">
        <v>108</v>
      </c>
      <c r="E209" s="49">
        <f>E210</f>
        <v>198.05549999999999</v>
      </c>
      <c r="F209" s="50"/>
      <c r="G209" s="51">
        <f>ROUND(E209*F209,2)</f>
        <v>0</v>
      </c>
      <c r="H209" s="27">
        <v>7.3499999999999998E-3</v>
      </c>
      <c r="I209" s="177">
        <f>E209*H209</f>
        <v>1.455707925</v>
      </c>
      <c r="J209" s="24"/>
    </row>
    <row r="210" spans="1:10" ht="20.100000000000001" customHeight="1" thickBot="1">
      <c r="A210" s="52"/>
      <c r="B210" s="213" t="s">
        <v>350</v>
      </c>
      <c r="C210" s="214" t="s">
        <v>359</v>
      </c>
      <c r="D210" s="213"/>
      <c r="E210" s="215">
        <f>396.111/2</f>
        <v>198.05549999999999</v>
      </c>
      <c r="F210" s="55"/>
      <c r="G210" s="55"/>
      <c r="H210" s="27"/>
      <c r="I210" s="177"/>
      <c r="J210" s="24"/>
    </row>
    <row r="211" spans="1:10" ht="20.25" customHeight="1" thickBot="1">
      <c r="A211" s="46">
        <v>44</v>
      </c>
      <c r="B211" s="47">
        <v>622321121</v>
      </c>
      <c r="C211" s="48" t="s">
        <v>351</v>
      </c>
      <c r="D211" s="47" t="s">
        <v>108</v>
      </c>
      <c r="E211" s="49">
        <f>E209</f>
        <v>198.05549999999999</v>
      </c>
      <c r="F211" s="50"/>
      <c r="G211" s="51">
        <f>ROUND(E211*F211,2)</f>
        <v>0</v>
      </c>
      <c r="H211" s="27">
        <v>2.3099999999999999E-2</v>
      </c>
      <c r="I211" s="177">
        <f>E211*H211</f>
        <v>4.5750820499999998</v>
      </c>
      <c r="J211" s="24"/>
    </row>
    <row r="212" spans="1:10" ht="20.100000000000001" customHeight="1" thickBot="1">
      <c r="A212" s="29"/>
      <c r="B212" s="30" t="s">
        <v>350</v>
      </c>
      <c r="C212" s="31"/>
      <c r="D212" s="30"/>
      <c r="E212" s="32"/>
      <c r="F212" s="33"/>
      <c r="G212" s="33"/>
      <c r="H212" s="27"/>
      <c r="I212" s="177"/>
      <c r="J212" s="24"/>
    </row>
    <row r="213" spans="1:10" ht="20.100000000000001" customHeight="1" thickBot="1">
      <c r="A213" s="46">
        <v>45</v>
      </c>
      <c r="B213" s="47">
        <v>622143003</v>
      </c>
      <c r="C213" s="48" t="s">
        <v>352</v>
      </c>
      <c r="D213" s="47" t="s">
        <v>124</v>
      </c>
      <c r="E213" s="49">
        <f>SUM(E214:E217)</f>
        <v>145.06000000000003</v>
      </c>
      <c r="F213" s="50"/>
      <c r="G213" s="51">
        <f>ROUND(E213*F213,2)</f>
        <v>0</v>
      </c>
      <c r="H213" s="27">
        <v>0</v>
      </c>
      <c r="I213" s="177">
        <f>E213*H213</f>
        <v>0</v>
      </c>
      <c r="J213" s="24"/>
    </row>
    <row r="214" spans="1:10" ht="20.100000000000001" customHeight="1">
      <c r="A214" s="29"/>
      <c r="B214" s="30"/>
      <c r="C214" s="214" t="s">
        <v>353</v>
      </c>
      <c r="D214" s="30"/>
      <c r="E214" s="215">
        <f>1.05*7+2.6*2+0.5*1+1.94*1+1.04*2+1.24*1+1.73*2*8+1.75*2*2+0.8*2*1+0.53*2*2+2.48*2</f>
        <v>61.669999999999995</v>
      </c>
      <c r="F214" s="33"/>
      <c r="G214" s="33"/>
      <c r="H214" s="27"/>
      <c r="I214" s="177"/>
      <c r="J214" s="24"/>
    </row>
    <row r="215" spans="1:10" ht="20.100000000000001" customHeight="1">
      <c r="A215" s="29"/>
      <c r="B215" s="30"/>
      <c r="C215" s="214" t="s">
        <v>354</v>
      </c>
      <c r="D215" s="30"/>
      <c r="E215" s="215">
        <f>1.05*6+1.02*1+0.92*1+0.5*1+0.84*2+0.85*1+1.48*2+1.52*1+1.36*1</f>
        <v>17.11</v>
      </c>
      <c r="F215" s="33"/>
      <c r="G215" s="33"/>
      <c r="H215" s="27"/>
      <c r="I215" s="177"/>
      <c r="J215" s="24"/>
    </row>
    <row r="216" spans="1:10" ht="20.100000000000001" customHeight="1">
      <c r="A216" s="29"/>
      <c r="B216" s="30"/>
      <c r="C216" s="214" t="s">
        <v>355</v>
      </c>
      <c r="D216" s="30"/>
      <c r="E216" s="215">
        <f>1.73*2*4+2.45*0*1+2.5*2*1+2.53*2*1+0.8*2*1+1.51*2*3+2.59*2*1+1.64*2*2+2.34*2*1+2.64*2*1</f>
        <v>56.260000000000005</v>
      </c>
      <c r="F216" s="33"/>
      <c r="G216" s="33"/>
      <c r="H216" s="27"/>
      <c r="I216" s="177"/>
      <c r="J216" s="24"/>
    </row>
    <row r="217" spans="1:10" ht="20.100000000000001" customHeight="1" thickBot="1">
      <c r="A217" s="29"/>
      <c r="B217" s="30"/>
      <c r="C217" s="214" t="s">
        <v>356</v>
      </c>
      <c r="D217" s="30"/>
      <c r="E217" s="215">
        <f>0.88*3+1.23*2*3</f>
        <v>10.02</v>
      </c>
      <c r="F217" s="33"/>
      <c r="G217" s="33"/>
      <c r="H217" s="27"/>
      <c r="I217" s="177"/>
      <c r="J217" s="24"/>
    </row>
    <row r="218" spans="1:10" ht="20.100000000000001" customHeight="1" thickBot="1">
      <c r="A218" s="57">
        <v>46</v>
      </c>
      <c r="B218" s="58" t="s">
        <v>130</v>
      </c>
      <c r="C218" s="59" t="s">
        <v>357</v>
      </c>
      <c r="D218" s="58" t="s">
        <v>124</v>
      </c>
      <c r="E218" s="60">
        <f>E219</f>
        <v>152</v>
      </c>
      <c r="F218" s="61"/>
      <c r="G218" s="62">
        <f>ROUND(E218*F218,2)</f>
        <v>0</v>
      </c>
      <c r="H218" s="27">
        <v>0</v>
      </c>
      <c r="I218" s="177">
        <f>E218*H218</f>
        <v>0</v>
      </c>
      <c r="J218" s="24"/>
    </row>
    <row r="219" spans="1:10" ht="20.100000000000001" customHeight="1" thickBot="1">
      <c r="A219" s="192"/>
      <c r="B219" s="194"/>
      <c r="C219" s="232" t="s">
        <v>358</v>
      </c>
      <c r="D219" s="194"/>
      <c r="E219" s="236">
        <f>ROUND(145.06*1.05,0)</f>
        <v>152</v>
      </c>
      <c r="F219" s="195"/>
      <c r="G219" s="195"/>
      <c r="H219" s="27"/>
      <c r="I219" s="177"/>
      <c r="J219" s="24"/>
    </row>
    <row r="220" spans="1:10" ht="20.100000000000001" customHeight="1" thickBot="1">
      <c r="A220" s="46">
        <v>47</v>
      </c>
      <c r="B220" s="47">
        <v>622331121</v>
      </c>
      <c r="C220" s="48" t="s">
        <v>142</v>
      </c>
      <c r="D220" s="47" t="s">
        <v>108</v>
      </c>
      <c r="E220" s="49">
        <f>E77</f>
        <v>396.11100000000005</v>
      </c>
      <c r="F220" s="50"/>
      <c r="G220" s="51">
        <f>ROUND(E220*F220,2)</f>
        <v>0</v>
      </c>
      <c r="H220" s="27">
        <v>3.15E-2</v>
      </c>
      <c r="I220" s="177">
        <f>E220*H220</f>
        <v>12.477496500000001</v>
      </c>
      <c r="J220" s="24"/>
    </row>
    <row r="221" spans="1:10" ht="20.100000000000001" customHeight="1" thickBot="1">
      <c r="A221" s="29"/>
      <c r="B221" s="213" t="s">
        <v>366</v>
      </c>
      <c r="C221" s="214">
        <v>396.11099999999999</v>
      </c>
      <c r="D221" s="213"/>
      <c r="E221" s="215"/>
      <c r="F221" s="216"/>
      <c r="G221" s="216"/>
      <c r="H221" s="27"/>
      <c r="I221" s="177"/>
      <c r="J221" s="24"/>
    </row>
    <row r="222" spans="1:10" ht="20.100000000000001" customHeight="1" thickBot="1">
      <c r="A222" s="46">
        <v>48</v>
      </c>
      <c r="B222" s="47">
        <v>612325301</v>
      </c>
      <c r="C222" s="48" t="s">
        <v>138</v>
      </c>
      <c r="D222" s="47" t="s">
        <v>108</v>
      </c>
      <c r="E222" s="49">
        <f>E200</f>
        <v>38.430399999999992</v>
      </c>
      <c r="F222" s="50"/>
      <c r="G222" s="51">
        <f>ROUND(E222*F222,2)</f>
        <v>0</v>
      </c>
      <c r="H222" s="27">
        <v>3.0450000000000001E-2</v>
      </c>
      <c r="I222" s="177">
        <f>E222*H222</f>
        <v>1.1702056799999998</v>
      </c>
      <c r="J222" s="24"/>
    </row>
    <row r="223" spans="1:10" ht="20.100000000000001" customHeight="1" thickBot="1">
      <c r="A223" s="29"/>
      <c r="B223" s="30"/>
      <c r="C223" s="31"/>
      <c r="D223" s="30"/>
      <c r="E223" s="32"/>
      <c r="F223" s="33"/>
      <c r="G223" s="33"/>
      <c r="H223" s="27"/>
      <c r="I223" s="177"/>
      <c r="J223" s="24"/>
    </row>
    <row r="224" spans="1:10" ht="20.100000000000001" customHeight="1" thickBot="1">
      <c r="A224" s="46">
        <v>49</v>
      </c>
      <c r="B224" s="47">
        <v>629991011</v>
      </c>
      <c r="C224" s="66" t="s">
        <v>145</v>
      </c>
      <c r="D224" s="63" t="s">
        <v>108</v>
      </c>
      <c r="E224" s="64">
        <f>SUM(E225:E227)</f>
        <v>67.341899999999981</v>
      </c>
      <c r="F224" s="65"/>
      <c r="G224" s="51">
        <f>ROUND(E224*F224,2)</f>
        <v>0</v>
      </c>
      <c r="H224" s="24"/>
      <c r="I224" s="24"/>
      <c r="J224" s="24"/>
    </row>
    <row r="225" spans="1:10" ht="20.100000000000001" customHeight="1">
      <c r="A225" s="235"/>
      <c r="B225" s="230" t="s">
        <v>367</v>
      </c>
      <c r="C225" s="240" t="s">
        <v>368</v>
      </c>
      <c r="D225" s="241"/>
      <c r="E225" s="242">
        <f>0.5*0.77*2+0.5*0.76*3+1*1.9+0.86*0.9*2+0.86*1.28*2+1.39*1.04+0.51*0.8</f>
        <v>9.4131999999999998</v>
      </c>
      <c r="F225" s="243"/>
      <c r="G225" s="244"/>
      <c r="H225" s="24"/>
      <c r="I225" s="24"/>
      <c r="J225" s="24"/>
    </row>
    <row r="226" spans="1:10" ht="20.100000000000001" customHeight="1">
      <c r="A226" s="212"/>
      <c r="B226" s="213" t="s">
        <v>116</v>
      </c>
      <c r="C226" s="245" t="s">
        <v>369</v>
      </c>
      <c r="D226" s="246"/>
      <c r="E226" s="247">
        <f>1.05*1.73*7+2.6*1.75*2+0.5*0.8+1.94*1.73+1.04*0.53*2+1.24*2.48</f>
        <v>29.749299999999998</v>
      </c>
      <c r="F226" s="248"/>
      <c r="G226" s="216"/>
      <c r="H226" s="24"/>
      <c r="I226" s="24"/>
      <c r="J226" s="24"/>
    </row>
    <row r="227" spans="1:10" ht="20.100000000000001" customHeight="1" thickBot="1">
      <c r="A227" s="212"/>
      <c r="B227" s="213" t="s">
        <v>117</v>
      </c>
      <c r="C227" s="249" t="s">
        <v>370</v>
      </c>
      <c r="D227" s="246"/>
      <c r="E227" s="250">
        <f>1.05*1.73*4+0.85*2.32+0.5*0.8+0.84*1.51*2+0.85*1.51+1.05*2.59+1.48*1.64*2+1.52*2.34+1.36*2.64</f>
        <v>28.179399999999994</v>
      </c>
      <c r="F227" s="248"/>
      <c r="G227" s="216"/>
      <c r="H227" s="24"/>
      <c r="I227" s="24"/>
      <c r="J227" s="24"/>
    </row>
    <row r="228" spans="1:10" ht="20.100000000000001" customHeight="1" thickBot="1">
      <c r="A228" s="46">
        <v>50</v>
      </c>
      <c r="B228" s="47">
        <v>629135102</v>
      </c>
      <c r="C228" s="66" t="s">
        <v>371</v>
      </c>
      <c r="D228" s="63" t="s">
        <v>0</v>
      </c>
      <c r="E228" s="64">
        <f>SUM(E229:E231)</f>
        <v>30.269999999999996</v>
      </c>
      <c r="F228" s="65"/>
      <c r="G228" s="51">
        <f>ROUND(E228*F228,2)</f>
        <v>0</v>
      </c>
      <c r="H228" s="24">
        <v>1.0319999999999999E-2</v>
      </c>
      <c r="I228" s="24">
        <f>E228*H228</f>
        <v>0.31238639999999995</v>
      </c>
      <c r="J228" s="24"/>
    </row>
    <row r="229" spans="1:10" ht="20.100000000000001" customHeight="1">
      <c r="A229" s="29"/>
      <c r="B229" s="213"/>
      <c r="C229" s="245" t="s">
        <v>372</v>
      </c>
      <c r="D229" s="246"/>
      <c r="E229" s="247">
        <f>0.5*5+0.51</f>
        <v>3.01</v>
      </c>
      <c r="F229" s="248"/>
      <c r="G229" s="216"/>
      <c r="H229" s="24"/>
      <c r="I229" s="24"/>
      <c r="J229" s="24"/>
    </row>
    <row r="230" spans="1:10" ht="20.100000000000001" customHeight="1">
      <c r="A230" s="29"/>
      <c r="B230" s="213"/>
      <c r="C230" s="245" t="s">
        <v>373</v>
      </c>
      <c r="D230" s="246"/>
      <c r="E230" s="247">
        <f>1.05*7+1.04*2+2.6*2+0.5*1+1.94</f>
        <v>17.07</v>
      </c>
      <c r="F230" s="248"/>
      <c r="G230" s="216"/>
      <c r="H230" s="24"/>
      <c r="I230" s="24"/>
      <c r="J230" s="24"/>
    </row>
    <row r="231" spans="1:10" ht="20.100000000000001" customHeight="1" thickBot="1">
      <c r="A231" s="29"/>
      <c r="B231" s="213"/>
      <c r="C231" s="245" t="s">
        <v>374</v>
      </c>
      <c r="D231" s="246"/>
      <c r="E231" s="247">
        <f>1.05*4+0.5*1+0.84*2+0.85*1+1.48*2</f>
        <v>10.19</v>
      </c>
      <c r="F231" s="248"/>
      <c r="G231" s="216"/>
      <c r="H231" s="24"/>
      <c r="I231" s="24"/>
      <c r="J231" s="24"/>
    </row>
    <row r="232" spans="1:10" ht="20.100000000000001" customHeight="1" thickBot="1">
      <c r="A232" s="46">
        <v>51</v>
      </c>
      <c r="B232" s="47">
        <v>622151001</v>
      </c>
      <c r="C232" s="66" t="s">
        <v>375</v>
      </c>
      <c r="D232" s="63" t="s">
        <v>108</v>
      </c>
      <c r="E232" s="64">
        <f>E233</f>
        <v>434.541</v>
      </c>
      <c r="F232" s="65"/>
      <c r="G232" s="51">
        <f>ROUND(E232*F232,2)</f>
        <v>0</v>
      </c>
      <c r="H232" s="24">
        <v>2.2000000000000001E-4</v>
      </c>
      <c r="I232" s="24">
        <f>E232*H232</f>
        <v>9.5599020000000007E-2</v>
      </c>
      <c r="J232" s="24"/>
    </row>
    <row r="233" spans="1:10" ht="20.100000000000001" customHeight="1" thickBot="1">
      <c r="A233" s="29"/>
      <c r="B233" s="213"/>
      <c r="C233" s="245" t="s">
        <v>376</v>
      </c>
      <c r="D233" s="246"/>
      <c r="E233" s="247">
        <f>396.111+38.43</f>
        <v>434.541</v>
      </c>
      <c r="F233" s="248"/>
      <c r="G233" s="216"/>
      <c r="H233" s="24"/>
      <c r="I233" s="24"/>
      <c r="J233" s="24"/>
    </row>
    <row r="234" spans="1:10" ht="20.100000000000001" customHeight="1" thickBot="1">
      <c r="A234" s="46">
        <v>52</v>
      </c>
      <c r="B234" s="47">
        <v>621151001</v>
      </c>
      <c r="C234" s="66" t="s">
        <v>377</v>
      </c>
      <c r="D234" s="63" t="s">
        <v>108</v>
      </c>
      <c r="E234" s="64">
        <f>E235</f>
        <v>8</v>
      </c>
      <c r="F234" s="65"/>
      <c r="G234" s="51">
        <f>ROUND(E234*F234,2)</f>
        <v>0</v>
      </c>
      <c r="H234" s="24">
        <v>2.9999999999999997E-4</v>
      </c>
      <c r="I234" s="24">
        <f>E234*H234</f>
        <v>2.3999999999999998E-3</v>
      </c>
      <c r="J234" s="24"/>
    </row>
    <row r="235" spans="1:10" ht="20.100000000000001" customHeight="1" thickBot="1">
      <c r="A235" s="29"/>
      <c r="B235" s="213"/>
      <c r="C235" s="245" t="s">
        <v>378</v>
      </c>
      <c r="D235" s="246"/>
      <c r="E235" s="247">
        <f>3+5</f>
        <v>8</v>
      </c>
      <c r="F235" s="248"/>
      <c r="G235" s="216"/>
      <c r="H235" s="24"/>
      <c r="I235" s="24"/>
      <c r="J235" s="24"/>
    </row>
    <row r="236" spans="1:10" ht="20.100000000000001" customHeight="1" thickBot="1">
      <c r="A236" s="46">
        <v>53</v>
      </c>
      <c r="B236" s="47">
        <v>629999042</v>
      </c>
      <c r="C236" s="66" t="s">
        <v>379</v>
      </c>
      <c r="D236" s="63" t="s">
        <v>108</v>
      </c>
      <c r="E236" s="64">
        <f>E237</f>
        <v>30.1828</v>
      </c>
      <c r="F236" s="65"/>
      <c r="G236" s="51">
        <f>ROUND(E236*F236,2)</f>
        <v>0</v>
      </c>
      <c r="H236" s="24"/>
      <c r="I236" s="24">
        <f>E236*H236</f>
        <v>0</v>
      </c>
      <c r="J236" s="24"/>
    </row>
    <row r="237" spans="1:10" ht="20.100000000000001" customHeight="1" thickBot="1">
      <c r="A237" s="29"/>
      <c r="B237" s="213"/>
      <c r="C237" s="251">
        <f>E149+E150+E152+E153+E159+E163+E170+E174+E176+E184+E185+E187+E188+E193</f>
        <v>30.1828</v>
      </c>
      <c r="D237" s="246"/>
      <c r="E237" s="252">
        <f>C237</f>
        <v>30.1828</v>
      </c>
      <c r="F237" s="248"/>
      <c r="G237" s="216"/>
      <c r="H237" s="24"/>
      <c r="I237" s="24"/>
      <c r="J237" s="24"/>
    </row>
    <row r="238" spans="1:10" ht="20.100000000000001" customHeight="1" thickBot="1">
      <c r="A238" s="46">
        <v>54</v>
      </c>
      <c r="B238" s="47">
        <v>629999030</v>
      </c>
      <c r="C238" s="66" t="s">
        <v>380</v>
      </c>
      <c r="D238" s="63" t="s">
        <v>108</v>
      </c>
      <c r="E238" s="64">
        <f>E239</f>
        <v>59.083999999999989</v>
      </c>
      <c r="F238" s="65"/>
      <c r="G238" s="51">
        <f>ROUND(E238*F238,2)</f>
        <v>0</v>
      </c>
      <c r="H238" s="24"/>
      <c r="I238" s="24"/>
      <c r="J238" s="24"/>
    </row>
    <row r="239" spans="1:10" ht="20.100000000000001" customHeight="1" thickBot="1">
      <c r="A239" s="29"/>
      <c r="B239" s="213"/>
      <c r="C239" s="251">
        <f>E149+E150+E151+E152+E153+E163+E168+E169+E170+E171+E174+E175+E176+E180+E183+E185+E186+E187+E188+E196+E198</f>
        <v>59.083999999999989</v>
      </c>
      <c r="D239" s="246"/>
      <c r="E239" s="252">
        <f>C239</f>
        <v>59.083999999999989</v>
      </c>
      <c r="F239" s="248"/>
      <c r="G239" s="216"/>
      <c r="H239" s="24"/>
      <c r="I239" s="24"/>
      <c r="J239" s="24"/>
    </row>
    <row r="240" spans="1:10" ht="20.100000000000001" customHeight="1" thickBot="1">
      <c r="A240" s="46">
        <v>55</v>
      </c>
      <c r="B240" s="47">
        <v>622142002</v>
      </c>
      <c r="C240" s="66" t="s">
        <v>381</v>
      </c>
      <c r="D240" s="63" t="s">
        <v>108</v>
      </c>
      <c r="E240" s="64">
        <f>E220</f>
        <v>396.11100000000005</v>
      </c>
      <c r="F240" s="65"/>
      <c r="G240" s="51">
        <f>ROUND(E240*F240,2)</f>
        <v>0</v>
      </c>
      <c r="H240" s="24">
        <v>2.7999999999999998E-4</v>
      </c>
      <c r="I240" s="24">
        <f>E240*H240</f>
        <v>0.11091108000000001</v>
      </c>
      <c r="J240" s="24"/>
    </row>
    <row r="241" spans="1:10" ht="20.100000000000001" customHeight="1" thickBot="1">
      <c r="A241" s="52"/>
      <c r="B241" s="53"/>
      <c r="C241" s="187"/>
      <c r="D241" s="188"/>
      <c r="E241" s="189"/>
      <c r="F241" s="190"/>
      <c r="G241" s="55"/>
      <c r="H241" s="24"/>
      <c r="I241" s="24"/>
      <c r="J241" s="24"/>
    </row>
    <row r="242" spans="1:10" ht="20.100000000000001" customHeight="1" thickBot="1">
      <c r="A242" s="46">
        <v>56</v>
      </c>
      <c r="B242" s="47">
        <v>621531012</v>
      </c>
      <c r="C242" s="66" t="s">
        <v>382</v>
      </c>
      <c r="D242" s="63" t="s">
        <v>108</v>
      </c>
      <c r="E242" s="64">
        <f>E234</f>
        <v>8</v>
      </c>
      <c r="F242" s="65"/>
      <c r="G242" s="51">
        <f>ROUND(E242*F242,2)</f>
        <v>0</v>
      </c>
      <c r="H242" s="24">
        <v>2.7499999999999998E-3</v>
      </c>
      <c r="I242" s="24">
        <f>E242*H242</f>
        <v>2.1999999999999999E-2</v>
      </c>
      <c r="J242" s="24"/>
    </row>
    <row r="243" spans="1:10" ht="20.100000000000001" customHeight="1" thickBot="1">
      <c r="A243" s="52"/>
      <c r="B243" s="53"/>
      <c r="C243" s="187"/>
      <c r="D243" s="188"/>
      <c r="E243" s="189"/>
      <c r="F243" s="190"/>
      <c r="G243" s="55"/>
      <c r="H243" s="24"/>
      <c r="I243" s="24"/>
      <c r="J243" s="24"/>
    </row>
    <row r="244" spans="1:10" ht="20.100000000000001" customHeight="1" thickBot="1">
      <c r="A244" s="46">
        <v>57</v>
      </c>
      <c r="B244" s="47">
        <v>622531012</v>
      </c>
      <c r="C244" s="66" t="s">
        <v>383</v>
      </c>
      <c r="D244" s="63" t="s">
        <v>108</v>
      </c>
      <c r="E244" s="64">
        <f>E240</f>
        <v>396.11100000000005</v>
      </c>
      <c r="F244" s="65"/>
      <c r="G244" s="51">
        <f>ROUND(E244*F244,2)</f>
        <v>0</v>
      </c>
      <c r="H244" s="24">
        <v>2.7499999999999998E-3</v>
      </c>
      <c r="I244" s="24">
        <f>E244*H244</f>
        <v>1.08930525</v>
      </c>
      <c r="J244" s="24"/>
    </row>
    <row r="245" spans="1:10" ht="20.100000000000001" customHeight="1">
      <c r="A245" s="52"/>
      <c r="B245" s="53"/>
      <c r="C245" s="187"/>
      <c r="D245" s="188"/>
      <c r="E245" s="189"/>
      <c r="F245" s="190"/>
      <c r="G245" s="55"/>
      <c r="H245" s="24"/>
      <c r="I245" s="24"/>
      <c r="J245" s="24"/>
    </row>
    <row r="246" spans="1:10" ht="20.100000000000001" customHeight="1" thickBot="1">
      <c r="A246" s="41"/>
      <c r="B246" s="42">
        <v>6</v>
      </c>
      <c r="C246" s="43" t="s">
        <v>524</v>
      </c>
      <c r="D246" s="42"/>
      <c r="E246" s="44"/>
      <c r="F246" s="45"/>
      <c r="G246" s="45">
        <f>SUM(G247:G279)</f>
        <v>0</v>
      </c>
      <c r="H246" s="24"/>
      <c r="I246" s="24"/>
      <c r="J246" s="24"/>
    </row>
    <row r="247" spans="1:10" ht="20.100000000000001" customHeight="1" thickBot="1">
      <c r="A247" s="46">
        <v>58</v>
      </c>
      <c r="B247" s="47">
        <v>985131111</v>
      </c>
      <c r="C247" s="66" t="s">
        <v>535</v>
      </c>
      <c r="D247" s="63" t="s">
        <v>108</v>
      </c>
      <c r="E247" s="64">
        <f>E248</f>
        <v>22</v>
      </c>
      <c r="F247" s="65"/>
      <c r="G247" s="51">
        <f>ROUND(E247*F247,2)</f>
        <v>0</v>
      </c>
      <c r="H247" s="24"/>
      <c r="I247" s="24"/>
      <c r="J247" s="24"/>
    </row>
    <row r="248" spans="1:10" ht="20.100000000000001" customHeight="1" thickBot="1">
      <c r="A248" s="41"/>
      <c r="B248" s="42"/>
      <c r="C248" s="214" t="s">
        <v>536</v>
      </c>
      <c r="D248" s="42"/>
      <c r="E248" s="218">
        <f>6+5*2+3*2</f>
        <v>22</v>
      </c>
      <c r="F248" s="45"/>
      <c r="G248" s="45"/>
      <c r="H248" s="24"/>
      <c r="I248" s="24"/>
      <c r="J248" s="24"/>
    </row>
    <row r="249" spans="1:10" ht="20.100000000000001" customHeight="1" thickBot="1">
      <c r="A249" s="46">
        <v>59</v>
      </c>
      <c r="B249" s="47">
        <v>985131311</v>
      </c>
      <c r="C249" s="66" t="s">
        <v>537</v>
      </c>
      <c r="D249" s="63" t="s">
        <v>108</v>
      </c>
      <c r="E249" s="64">
        <f>E247</f>
        <v>22</v>
      </c>
      <c r="F249" s="65"/>
      <c r="G249" s="51">
        <f>ROUND(E249*F249,2)</f>
        <v>0</v>
      </c>
      <c r="H249" s="24"/>
      <c r="I249" s="24"/>
      <c r="J249" s="24"/>
    </row>
    <row r="250" spans="1:10" ht="20.100000000000001" customHeight="1" thickBot="1">
      <c r="A250" s="52"/>
      <c r="B250" s="53"/>
      <c r="C250" s="187"/>
      <c r="D250" s="188"/>
      <c r="E250" s="189"/>
      <c r="F250" s="190"/>
      <c r="G250" s="55"/>
      <c r="H250" s="24"/>
      <c r="I250" s="24"/>
      <c r="J250" s="24"/>
    </row>
    <row r="251" spans="1:10" ht="20.100000000000001" customHeight="1" thickBot="1">
      <c r="A251" s="46">
        <v>60</v>
      </c>
      <c r="B251" s="47">
        <v>985139112</v>
      </c>
      <c r="C251" s="66" t="s">
        <v>538</v>
      </c>
      <c r="D251" s="63" t="s">
        <v>108</v>
      </c>
      <c r="E251" s="64">
        <f>E249</f>
        <v>22</v>
      </c>
      <c r="F251" s="65"/>
      <c r="G251" s="51">
        <f>ROUND(E251*F251,2)</f>
        <v>0</v>
      </c>
      <c r="H251" s="24"/>
      <c r="I251" s="24"/>
      <c r="J251" s="24"/>
    </row>
    <row r="252" spans="1:10" ht="20.100000000000001" customHeight="1">
      <c r="A252" s="41"/>
      <c r="B252" s="42"/>
      <c r="C252" s="214"/>
      <c r="D252" s="42"/>
      <c r="E252" s="218"/>
      <c r="F252" s="45"/>
      <c r="G252" s="45"/>
      <c r="H252" s="24"/>
      <c r="I252" s="24"/>
      <c r="J252" s="24"/>
    </row>
    <row r="253" spans="1:10" ht="20.100000000000001" customHeight="1" thickBot="1">
      <c r="A253" s="41"/>
      <c r="B253" s="42"/>
      <c r="C253" s="43"/>
      <c r="D253" s="42"/>
      <c r="E253" s="44"/>
      <c r="F253" s="45"/>
      <c r="G253" s="45"/>
      <c r="H253" s="24"/>
      <c r="I253" s="24"/>
      <c r="J253" s="24"/>
    </row>
    <row r="254" spans="1:10" ht="20.100000000000001" customHeight="1" thickBot="1">
      <c r="A254" s="46">
        <v>61</v>
      </c>
      <c r="B254" s="47">
        <v>632451234</v>
      </c>
      <c r="C254" s="66" t="s">
        <v>521</v>
      </c>
      <c r="D254" s="63" t="s">
        <v>108</v>
      </c>
      <c r="E254" s="64">
        <f>E255</f>
        <v>14</v>
      </c>
      <c r="F254" s="65"/>
      <c r="G254" s="51">
        <f>ROUND(E254*F254,2)</f>
        <v>0</v>
      </c>
      <c r="H254" s="24">
        <v>0.11</v>
      </c>
      <c r="I254" s="24">
        <f>E254*H254</f>
        <v>1.54</v>
      </c>
      <c r="J254" s="24"/>
    </row>
    <row r="255" spans="1:10" ht="20.100000000000001" customHeight="1" thickBot="1">
      <c r="A255" s="212"/>
      <c r="B255" s="213"/>
      <c r="C255" s="245" t="s">
        <v>522</v>
      </c>
      <c r="D255" s="246"/>
      <c r="E255" s="266">
        <f>6+5+3</f>
        <v>14</v>
      </c>
      <c r="F255" s="248"/>
      <c r="G255" s="216"/>
      <c r="H255" s="24"/>
      <c r="I255" s="24"/>
      <c r="J255" s="24"/>
    </row>
    <row r="256" spans="1:10" ht="20.100000000000001" customHeight="1" thickBot="1">
      <c r="A256" s="46">
        <v>62</v>
      </c>
      <c r="B256" s="47">
        <v>622135002</v>
      </c>
      <c r="C256" s="66" t="s">
        <v>525</v>
      </c>
      <c r="D256" s="63" t="s">
        <v>108</v>
      </c>
      <c r="E256" s="64">
        <f>E257</f>
        <v>6.3039999999999994</v>
      </c>
      <c r="F256" s="65"/>
      <c r="G256" s="51">
        <f>ROUND(E256*F256,2)</f>
        <v>0</v>
      </c>
      <c r="H256" s="24">
        <v>2.7300000000000001E-2</v>
      </c>
      <c r="I256" s="24">
        <f>E256*H256</f>
        <v>0.17209919999999998</v>
      </c>
      <c r="J256" s="24"/>
    </row>
    <row r="257" spans="1:10" ht="20.100000000000001" customHeight="1" thickBot="1">
      <c r="A257" s="212"/>
      <c r="B257" s="213"/>
      <c r="C257" s="245" t="s">
        <v>526</v>
      </c>
      <c r="D257" s="246"/>
      <c r="E257" s="247">
        <f>8*0.2+8*0.3+2.36*0.2+1.9*0.2+0.3*2.66+0.3*2.18</f>
        <v>6.3039999999999994</v>
      </c>
      <c r="F257" s="248"/>
      <c r="G257" s="216"/>
      <c r="H257" s="24"/>
      <c r="I257" s="24"/>
      <c r="J257" s="24"/>
    </row>
    <row r="258" spans="1:10" ht="20.100000000000001" customHeight="1" thickBot="1">
      <c r="A258" s="46">
        <v>63</v>
      </c>
      <c r="B258" s="47">
        <v>985323111</v>
      </c>
      <c r="C258" s="66" t="s">
        <v>539</v>
      </c>
      <c r="D258" s="63" t="s">
        <v>108</v>
      </c>
      <c r="E258" s="64">
        <f>SUM(E259:E264)</f>
        <v>22.456</v>
      </c>
      <c r="F258" s="65"/>
      <c r="G258" s="51">
        <f>ROUND(E258*F258,2)</f>
        <v>0</v>
      </c>
      <c r="H258" s="24"/>
      <c r="I258" s="24"/>
      <c r="J258" s="24"/>
    </row>
    <row r="259" spans="1:10" ht="20.100000000000001" customHeight="1">
      <c r="A259" s="212"/>
      <c r="B259" s="213" t="s">
        <v>527</v>
      </c>
      <c r="C259" s="245" t="s">
        <v>530</v>
      </c>
      <c r="D259" s="246"/>
      <c r="E259" s="266">
        <f>0.3*8+6</f>
        <v>8.4</v>
      </c>
      <c r="F259" s="248"/>
      <c r="G259" s="216"/>
      <c r="H259" s="24"/>
      <c r="I259" s="24"/>
      <c r="J259" s="24"/>
    </row>
    <row r="260" spans="1:10" ht="20.100000000000001" customHeight="1">
      <c r="A260" s="212"/>
      <c r="B260" s="213" t="s">
        <v>528</v>
      </c>
      <c r="C260" s="245" t="s">
        <v>531</v>
      </c>
      <c r="D260" s="246"/>
      <c r="E260" s="266">
        <f>0.3*(2.18+2.66)+5</f>
        <v>6.452</v>
      </c>
      <c r="F260" s="248"/>
      <c r="G260" s="216"/>
      <c r="H260" s="24"/>
      <c r="I260" s="24"/>
      <c r="J260" s="24"/>
    </row>
    <row r="261" spans="1:10" ht="20.100000000000001" customHeight="1">
      <c r="A261" s="212"/>
      <c r="B261" s="213" t="s">
        <v>529</v>
      </c>
      <c r="C261" s="245">
        <v>3</v>
      </c>
      <c r="D261" s="246"/>
      <c r="E261" s="266">
        <v>3</v>
      </c>
      <c r="F261" s="248"/>
      <c r="G261" s="216"/>
      <c r="H261" s="24"/>
      <c r="I261" s="24"/>
      <c r="J261" s="24"/>
    </row>
    <row r="262" spans="1:10" ht="20.100000000000001" customHeight="1">
      <c r="A262" s="212"/>
      <c r="B262" s="213" t="s">
        <v>527</v>
      </c>
      <c r="C262" s="245" t="s">
        <v>532</v>
      </c>
      <c r="D262" s="246"/>
      <c r="E262" s="266">
        <f>0.2*8+3.7*0.2</f>
        <v>2.3400000000000003</v>
      </c>
      <c r="F262" s="248"/>
      <c r="G262" s="216"/>
      <c r="H262" s="24"/>
      <c r="I262" s="24"/>
      <c r="J262" s="24"/>
    </row>
    <row r="263" spans="1:10" ht="20.100000000000001" customHeight="1">
      <c r="A263" s="212"/>
      <c r="B263" s="213" t="s">
        <v>528</v>
      </c>
      <c r="C263" s="245" t="s">
        <v>533</v>
      </c>
      <c r="D263" s="246"/>
      <c r="E263" s="266">
        <f>0.2*(2.36*2+1.9*2)</f>
        <v>1.704</v>
      </c>
      <c r="F263" s="248"/>
      <c r="G263" s="216"/>
      <c r="H263" s="24"/>
      <c r="I263" s="24"/>
      <c r="J263" s="24"/>
    </row>
    <row r="264" spans="1:10" ht="20.100000000000001" customHeight="1" thickBot="1">
      <c r="A264" s="212"/>
      <c r="B264" s="213" t="s">
        <v>529</v>
      </c>
      <c r="C264" s="245" t="s">
        <v>534</v>
      </c>
      <c r="D264" s="246"/>
      <c r="E264" s="266">
        <f>2.8*0.2</f>
        <v>0.55999999999999994</v>
      </c>
      <c r="F264" s="248"/>
      <c r="G264" s="216"/>
      <c r="H264" s="24"/>
      <c r="I264" s="24"/>
      <c r="J264" s="24"/>
    </row>
    <row r="265" spans="1:10" ht="20.100000000000001" customHeight="1" thickBot="1">
      <c r="A265" s="46">
        <v>64</v>
      </c>
      <c r="B265" s="47">
        <v>985323912</v>
      </c>
      <c r="C265" s="66" t="s">
        <v>540</v>
      </c>
      <c r="D265" s="63" t="s">
        <v>108</v>
      </c>
      <c r="E265" s="64">
        <f>E258</f>
        <v>22.456</v>
      </c>
      <c r="F265" s="65"/>
      <c r="G265" s="51">
        <f>ROUND(E265*F265,2)</f>
        <v>0</v>
      </c>
      <c r="H265" s="24"/>
      <c r="I265" s="24"/>
      <c r="J265" s="24"/>
    </row>
    <row r="266" spans="1:10" ht="20.100000000000001" customHeight="1" thickBot="1">
      <c r="A266" s="212"/>
      <c r="B266" s="213"/>
      <c r="C266" s="245"/>
      <c r="D266" s="246"/>
      <c r="E266" s="266"/>
      <c r="F266" s="248"/>
      <c r="G266" s="216"/>
      <c r="H266" s="24"/>
      <c r="I266" s="24"/>
      <c r="J266" s="24"/>
    </row>
    <row r="267" spans="1:10" ht="20.100000000000001" customHeight="1" thickBot="1">
      <c r="A267" s="46">
        <v>65</v>
      </c>
      <c r="B267" s="47">
        <v>711191201</v>
      </c>
      <c r="C267" s="66" t="s">
        <v>541</v>
      </c>
      <c r="D267" s="63" t="s">
        <v>108</v>
      </c>
      <c r="E267" s="64">
        <f>E259+E260+E261</f>
        <v>17.852</v>
      </c>
      <c r="F267" s="65"/>
      <c r="G267" s="51">
        <f>ROUND(E267*F267,2)</f>
        <v>0</v>
      </c>
      <c r="H267" s="24"/>
      <c r="I267" s="24"/>
      <c r="J267" s="24"/>
    </row>
    <row r="268" spans="1:10" ht="20.100000000000001" customHeight="1" thickBot="1">
      <c r="A268" s="212"/>
      <c r="B268" s="213"/>
      <c r="C268" s="245"/>
      <c r="D268" s="246"/>
      <c r="E268" s="266"/>
      <c r="F268" s="248"/>
      <c r="G268" s="216"/>
      <c r="H268" s="24"/>
      <c r="I268" s="24"/>
      <c r="J268" s="24"/>
    </row>
    <row r="269" spans="1:10" ht="20.100000000000001" customHeight="1" thickBot="1">
      <c r="A269" s="46">
        <v>66</v>
      </c>
      <c r="B269" s="47">
        <v>711192201</v>
      </c>
      <c r="C269" s="66" t="s">
        <v>542</v>
      </c>
      <c r="D269" s="63" t="s">
        <v>108</v>
      </c>
      <c r="E269" s="64">
        <f>E262+E263+E264</f>
        <v>4.6040000000000001</v>
      </c>
      <c r="F269" s="65"/>
      <c r="G269" s="51">
        <f>ROUND(E269*F269,2)</f>
        <v>0</v>
      </c>
      <c r="H269" s="24"/>
      <c r="I269" s="24"/>
      <c r="J269" s="24"/>
    </row>
    <row r="270" spans="1:10" ht="20.100000000000001" customHeight="1" thickBot="1">
      <c r="A270" s="212"/>
      <c r="B270" s="213"/>
      <c r="C270" s="245"/>
      <c r="D270" s="246"/>
      <c r="E270" s="266"/>
      <c r="F270" s="248"/>
      <c r="G270" s="216"/>
      <c r="H270" s="24"/>
      <c r="I270" s="24"/>
      <c r="J270" s="24"/>
    </row>
    <row r="271" spans="1:10" ht="20.100000000000001" customHeight="1" thickBot="1">
      <c r="A271" s="57">
        <v>67</v>
      </c>
      <c r="B271" s="58" t="s">
        <v>130</v>
      </c>
      <c r="C271" s="59" t="s">
        <v>543</v>
      </c>
      <c r="D271" s="58" t="s">
        <v>259</v>
      </c>
      <c r="E271" s="60">
        <f>E272</f>
        <v>76.350399999999993</v>
      </c>
      <c r="F271" s="61"/>
      <c r="G271" s="62">
        <f>ROUND(E271*F271,2)</f>
        <v>0</v>
      </c>
      <c r="H271" s="24"/>
      <c r="I271" s="24"/>
      <c r="J271" s="24"/>
    </row>
    <row r="272" spans="1:10" ht="20.100000000000001" customHeight="1" thickBot="1">
      <c r="A272" s="262"/>
      <c r="B272" s="253"/>
      <c r="C272" s="232" t="s">
        <v>544</v>
      </c>
      <c r="D272" s="253"/>
      <c r="E272" s="238">
        <f>22.456*3.4</f>
        <v>76.350399999999993</v>
      </c>
      <c r="F272" s="254"/>
      <c r="G272" s="254"/>
      <c r="H272" s="24"/>
      <c r="I272" s="24"/>
      <c r="J272" s="24"/>
    </row>
    <row r="273" spans="1:10" ht="20.100000000000001" customHeight="1" thickBot="1">
      <c r="A273" s="46">
        <v>68</v>
      </c>
      <c r="B273" s="47">
        <v>771574515</v>
      </c>
      <c r="C273" s="66" t="s">
        <v>545</v>
      </c>
      <c r="D273" s="63" t="s">
        <v>108</v>
      </c>
      <c r="E273" s="64">
        <f>E274</f>
        <v>11</v>
      </c>
      <c r="F273" s="65"/>
      <c r="G273" s="51">
        <f>ROUND(E273*F273,2)</f>
        <v>0</v>
      </c>
      <c r="H273" s="24"/>
      <c r="I273" s="24"/>
      <c r="J273" s="24"/>
    </row>
    <row r="274" spans="1:10" ht="20.100000000000001" customHeight="1" thickBot="1">
      <c r="A274" s="262"/>
      <c r="B274" s="253"/>
      <c r="C274" s="214" t="s">
        <v>523</v>
      </c>
      <c r="D274" s="253"/>
      <c r="E274" s="218">
        <f>6+5</f>
        <v>11</v>
      </c>
      <c r="F274" s="254"/>
      <c r="G274" s="254"/>
      <c r="H274" s="24"/>
      <c r="I274" s="24"/>
      <c r="J274" s="24"/>
    </row>
    <row r="275" spans="1:10" ht="20.100000000000001" customHeight="1" thickBot="1">
      <c r="A275" s="57">
        <v>69</v>
      </c>
      <c r="B275" s="58" t="s">
        <v>130</v>
      </c>
      <c r="C275" s="59" t="s">
        <v>546</v>
      </c>
      <c r="D275" s="58" t="s">
        <v>108</v>
      </c>
      <c r="E275" s="60">
        <f>E276</f>
        <v>12</v>
      </c>
      <c r="F275" s="61"/>
      <c r="G275" s="62">
        <f>ROUND(E275*F275,2)</f>
        <v>0</v>
      </c>
      <c r="H275" s="24"/>
      <c r="I275" s="24"/>
      <c r="J275" s="24"/>
    </row>
    <row r="276" spans="1:10" ht="20.100000000000001" customHeight="1" thickBot="1">
      <c r="A276" s="262"/>
      <c r="B276" s="253"/>
      <c r="C276" s="232" t="s">
        <v>547</v>
      </c>
      <c r="D276" s="253"/>
      <c r="E276" s="238">
        <f>ROUND(11*1.08,0)</f>
        <v>12</v>
      </c>
      <c r="F276" s="254"/>
      <c r="G276" s="254"/>
      <c r="H276" s="24"/>
      <c r="I276" s="24"/>
      <c r="J276" s="24"/>
    </row>
    <row r="277" spans="1:10" ht="20.100000000000001" customHeight="1" thickBot="1">
      <c r="A277" s="46">
        <v>70</v>
      </c>
      <c r="B277" s="47">
        <v>771577222</v>
      </c>
      <c r="C277" s="66" t="s">
        <v>548</v>
      </c>
      <c r="D277" s="63" t="s">
        <v>108</v>
      </c>
      <c r="E277" s="64">
        <f>E273</f>
        <v>11</v>
      </c>
      <c r="F277" s="65"/>
      <c r="G277" s="51">
        <f>ROUND(E277*F277,2)</f>
        <v>0</v>
      </c>
      <c r="H277" s="24"/>
      <c r="I277" s="24"/>
      <c r="J277" s="24"/>
    </row>
    <row r="278" spans="1:10" ht="20.100000000000001" customHeight="1" thickBot="1">
      <c r="A278" s="52"/>
      <c r="B278" s="53"/>
      <c r="C278" s="187"/>
      <c r="D278" s="188"/>
      <c r="E278" s="189"/>
      <c r="F278" s="190"/>
      <c r="G278" s="55"/>
      <c r="H278" s="24"/>
      <c r="I278" s="24"/>
      <c r="J278" s="24"/>
    </row>
    <row r="279" spans="1:10" ht="20.100000000000001" customHeight="1" thickBot="1">
      <c r="A279" s="46">
        <v>71</v>
      </c>
      <c r="B279" s="47">
        <v>777511101</v>
      </c>
      <c r="C279" s="66" t="s">
        <v>549</v>
      </c>
      <c r="D279" s="63" t="s">
        <v>108</v>
      </c>
      <c r="E279" s="64">
        <v>3</v>
      </c>
      <c r="F279" s="65"/>
      <c r="G279" s="51">
        <f>ROUND(E279*F279,2)</f>
        <v>0</v>
      </c>
      <c r="H279" s="24"/>
      <c r="I279" s="24"/>
      <c r="J279" s="24"/>
    </row>
    <row r="280" spans="1:10" ht="20.100000000000001" customHeight="1">
      <c r="A280" s="212"/>
      <c r="B280" s="213" t="s">
        <v>529</v>
      </c>
      <c r="C280" s="245">
        <v>3</v>
      </c>
      <c r="D280" s="246"/>
      <c r="E280" s="266"/>
      <c r="F280" s="248"/>
      <c r="G280" s="216"/>
      <c r="H280" s="24"/>
      <c r="I280" s="24"/>
      <c r="J280" s="24"/>
    </row>
    <row r="281" spans="1:10" ht="20.100000000000001" customHeight="1">
      <c r="A281" s="52"/>
      <c r="B281" s="53"/>
      <c r="C281" s="187"/>
      <c r="D281" s="188"/>
      <c r="E281" s="189"/>
      <c r="F281" s="190"/>
      <c r="G281" s="55"/>
      <c r="H281" s="24"/>
      <c r="I281" s="24"/>
      <c r="J281" s="24"/>
    </row>
    <row r="282" spans="1:10" ht="20.100000000000001" customHeight="1" thickBot="1">
      <c r="A282" s="41"/>
      <c r="B282" s="42">
        <v>7</v>
      </c>
      <c r="C282" s="43" t="s">
        <v>474</v>
      </c>
      <c r="D282" s="42"/>
      <c r="E282" s="44"/>
      <c r="F282" s="45"/>
      <c r="G282" s="45">
        <f>SUM(G283:G285)</f>
        <v>0</v>
      </c>
      <c r="H282" s="24"/>
      <c r="I282" s="24"/>
      <c r="J282" s="24"/>
    </row>
    <row r="283" spans="1:10" ht="20.100000000000001" customHeight="1" thickBot="1">
      <c r="A283" s="46">
        <v>72</v>
      </c>
      <c r="B283" s="47">
        <v>648922421</v>
      </c>
      <c r="C283" s="66" t="s">
        <v>475</v>
      </c>
      <c r="D283" s="63" t="s">
        <v>126</v>
      </c>
      <c r="E283" s="64">
        <f>E285</f>
        <v>4.22</v>
      </c>
      <c r="F283" s="65"/>
      <c r="G283" s="51">
        <f>ROUND(E283*F283,2)</f>
        <v>0</v>
      </c>
      <c r="H283" s="24"/>
      <c r="I283" s="24"/>
      <c r="J283" s="24"/>
    </row>
    <row r="284" spans="1:10" ht="20.100000000000001" customHeight="1" thickBot="1">
      <c r="A284" s="52"/>
      <c r="B284" s="53"/>
      <c r="C284" s="187"/>
      <c r="D284" s="188"/>
      <c r="E284" s="189"/>
      <c r="F284" s="190"/>
      <c r="G284" s="55"/>
      <c r="H284" s="24"/>
      <c r="I284" s="24"/>
      <c r="J284" s="24"/>
    </row>
    <row r="285" spans="1:10" ht="73.5" customHeight="1" thickBot="1">
      <c r="A285" s="57">
        <v>73</v>
      </c>
      <c r="B285" s="58" t="s">
        <v>130</v>
      </c>
      <c r="C285" s="179" t="s">
        <v>476</v>
      </c>
      <c r="D285" s="58" t="s">
        <v>124</v>
      </c>
      <c r="E285" s="60">
        <f>SUM(E286:E287)</f>
        <v>4.22</v>
      </c>
      <c r="F285" s="61"/>
      <c r="G285" s="62">
        <f>ROUND(E285*F285,2)</f>
        <v>0</v>
      </c>
      <c r="H285" s="24"/>
      <c r="I285" s="24"/>
      <c r="J285" s="24"/>
    </row>
    <row r="286" spans="1:10" ht="20.100000000000001" customHeight="1">
      <c r="A286" s="262"/>
      <c r="B286" s="253"/>
      <c r="C286" s="232" t="s">
        <v>477</v>
      </c>
      <c r="D286" s="253"/>
      <c r="E286" s="238">
        <f>0.5*5</f>
        <v>2.5</v>
      </c>
      <c r="F286" s="254"/>
      <c r="G286" s="254"/>
      <c r="H286" s="24"/>
      <c r="I286" s="24"/>
      <c r="J286" s="24"/>
    </row>
    <row r="287" spans="1:10" ht="20.100000000000001" customHeight="1">
      <c r="A287" s="262"/>
      <c r="B287" s="253"/>
      <c r="C287" s="232" t="s">
        <v>478</v>
      </c>
      <c r="D287" s="253"/>
      <c r="E287" s="238">
        <f>0.86*2</f>
        <v>1.72</v>
      </c>
      <c r="F287" s="254"/>
      <c r="G287" s="254"/>
      <c r="H287" s="24"/>
      <c r="I287" s="24"/>
      <c r="J287" s="24"/>
    </row>
    <row r="288" spans="1:10" ht="20.100000000000001" customHeight="1">
      <c r="A288" s="181"/>
      <c r="B288" s="184"/>
      <c r="C288" s="183"/>
      <c r="D288" s="184"/>
      <c r="E288" s="185"/>
      <c r="F288" s="186"/>
      <c r="G288" s="186"/>
      <c r="H288" s="24"/>
      <c r="I288" s="24"/>
      <c r="J288" s="24"/>
    </row>
    <row r="289" spans="1:10" ht="20.100000000000001" customHeight="1" thickBot="1">
      <c r="A289" s="41"/>
      <c r="B289" s="42">
        <v>8</v>
      </c>
      <c r="C289" s="43" t="s">
        <v>152</v>
      </c>
      <c r="D289" s="42"/>
      <c r="E289" s="44"/>
      <c r="F289" s="45"/>
      <c r="G289" s="45">
        <f>SUM(G290:G303)</f>
        <v>0</v>
      </c>
      <c r="H289" s="24"/>
      <c r="I289" s="24"/>
      <c r="J289" s="24"/>
    </row>
    <row r="290" spans="1:10" ht="20.100000000000001" customHeight="1" thickBot="1">
      <c r="A290" s="46">
        <v>74</v>
      </c>
      <c r="B290" s="47">
        <v>941111112</v>
      </c>
      <c r="C290" s="66" t="s">
        <v>384</v>
      </c>
      <c r="D290" s="63" t="s">
        <v>108</v>
      </c>
      <c r="E290" s="64">
        <f>SUM(E291:E294)</f>
        <v>855</v>
      </c>
      <c r="F290" s="65"/>
      <c r="G290" s="51">
        <f>ROUND(E290*F290,2)</f>
        <v>0</v>
      </c>
      <c r="H290" s="24"/>
      <c r="I290" s="24"/>
      <c r="J290" s="24"/>
    </row>
    <row r="291" spans="1:10" ht="20.100000000000001" customHeight="1">
      <c r="A291" s="259"/>
      <c r="B291" s="260"/>
      <c r="C291" s="214" t="s">
        <v>387</v>
      </c>
      <c r="D291" s="260"/>
      <c r="E291" s="218">
        <f>16.5*15</f>
        <v>247.5</v>
      </c>
      <c r="F291" s="261"/>
      <c r="G291" s="261"/>
      <c r="H291" s="24"/>
      <c r="I291" s="24"/>
      <c r="J291" s="24"/>
    </row>
    <row r="292" spans="1:10" ht="20.100000000000001" customHeight="1">
      <c r="A292" s="259"/>
      <c r="B292" s="260"/>
      <c r="C292" s="214" t="s">
        <v>388</v>
      </c>
      <c r="D292" s="260"/>
      <c r="E292" s="218">
        <f>12*15</f>
        <v>180</v>
      </c>
      <c r="F292" s="261"/>
      <c r="G292" s="261"/>
      <c r="H292" s="24"/>
      <c r="I292" s="24"/>
      <c r="J292" s="24"/>
    </row>
    <row r="293" spans="1:10" ht="20.100000000000001" customHeight="1">
      <c r="A293" s="259"/>
      <c r="B293" s="260"/>
      <c r="C293" s="214" t="s">
        <v>387</v>
      </c>
      <c r="D293" s="260"/>
      <c r="E293" s="218">
        <f>16.5*15</f>
        <v>247.5</v>
      </c>
      <c r="F293" s="261"/>
      <c r="G293" s="261"/>
      <c r="H293" s="24"/>
      <c r="I293" s="24"/>
      <c r="J293" s="24"/>
    </row>
    <row r="294" spans="1:10" ht="20.100000000000001" customHeight="1" thickBot="1">
      <c r="A294" s="259"/>
      <c r="B294" s="260"/>
      <c r="C294" s="214" t="s">
        <v>388</v>
      </c>
      <c r="D294" s="260"/>
      <c r="E294" s="218">
        <f>12*15</f>
        <v>180</v>
      </c>
      <c r="F294" s="261"/>
      <c r="G294" s="261"/>
      <c r="H294" s="24"/>
      <c r="I294" s="24"/>
      <c r="J294" s="24"/>
    </row>
    <row r="295" spans="1:10" ht="20.100000000000001" customHeight="1" thickBot="1">
      <c r="A295" s="46">
        <v>75</v>
      </c>
      <c r="B295" s="47">
        <v>941111212</v>
      </c>
      <c r="C295" s="66" t="s">
        <v>385</v>
      </c>
      <c r="D295" s="63" t="s">
        <v>108</v>
      </c>
      <c r="E295" s="64">
        <f>E290*80</f>
        <v>68400</v>
      </c>
      <c r="F295" s="65"/>
      <c r="G295" s="51">
        <f>ROUND(E295*F295,2)</f>
        <v>0</v>
      </c>
      <c r="H295" s="24"/>
      <c r="I295" s="24"/>
      <c r="J295" s="24"/>
    </row>
    <row r="296" spans="1:10" ht="20.100000000000001" customHeight="1" thickBot="1">
      <c r="A296" s="34"/>
      <c r="B296" s="35"/>
      <c r="C296" s="31"/>
      <c r="D296" s="35"/>
      <c r="E296" s="37"/>
      <c r="F296" s="36"/>
      <c r="G296" s="36"/>
      <c r="H296" s="24"/>
      <c r="I296" s="24"/>
      <c r="J296" s="24"/>
    </row>
    <row r="297" spans="1:10" ht="20.100000000000001" customHeight="1" thickBot="1">
      <c r="A297" s="46">
        <v>76</v>
      </c>
      <c r="B297" s="47">
        <v>941111812</v>
      </c>
      <c r="C297" s="66" t="s">
        <v>386</v>
      </c>
      <c r="D297" s="63" t="s">
        <v>108</v>
      </c>
      <c r="E297" s="64">
        <f>E290</f>
        <v>855</v>
      </c>
      <c r="F297" s="65"/>
      <c r="G297" s="51">
        <f>ROUND(E297*F297,2)</f>
        <v>0</v>
      </c>
      <c r="H297" s="24"/>
      <c r="I297" s="24"/>
      <c r="J297" s="24"/>
    </row>
    <row r="298" spans="1:10" ht="20.100000000000001" customHeight="1" thickBot="1">
      <c r="A298" s="34"/>
      <c r="B298" s="35"/>
      <c r="C298" s="31"/>
      <c r="D298" s="35"/>
      <c r="E298" s="37"/>
      <c r="F298" s="36"/>
      <c r="G298" s="36"/>
      <c r="H298" s="24"/>
      <c r="I298" s="24"/>
      <c r="J298" s="24"/>
    </row>
    <row r="299" spans="1:10" ht="20.100000000000001" customHeight="1" thickBot="1">
      <c r="A299" s="46">
        <v>77</v>
      </c>
      <c r="B299" s="47">
        <v>944511111</v>
      </c>
      <c r="C299" s="66" t="s">
        <v>148</v>
      </c>
      <c r="D299" s="63" t="s">
        <v>108</v>
      </c>
      <c r="E299" s="64">
        <f>E297</f>
        <v>855</v>
      </c>
      <c r="F299" s="65"/>
      <c r="G299" s="51">
        <f>ROUND(E299*F299,2)</f>
        <v>0</v>
      </c>
      <c r="H299" s="24"/>
      <c r="I299" s="24"/>
      <c r="J299" s="24"/>
    </row>
    <row r="300" spans="1:10" ht="20.100000000000001" customHeight="1" thickBot="1">
      <c r="A300" s="52"/>
      <c r="B300" s="53"/>
      <c r="C300" s="187"/>
      <c r="D300" s="188"/>
      <c r="E300" s="189"/>
      <c r="F300" s="190"/>
      <c r="G300" s="55"/>
      <c r="H300" s="24"/>
      <c r="I300" s="24"/>
      <c r="J300" s="24"/>
    </row>
    <row r="301" spans="1:10" ht="20.100000000000001" customHeight="1" thickBot="1">
      <c r="A301" s="46">
        <v>78</v>
      </c>
      <c r="B301" s="47">
        <v>944511211</v>
      </c>
      <c r="C301" s="66" t="s">
        <v>146</v>
      </c>
      <c r="D301" s="63" t="s">
        <v>108</v>
      </c>
      <c r="E301" s="64">
        <f>E299*60</f>
        <v>51300</v>
      </c>
      <c r="F301" s="65"/>
      <c r="G301" s="51">
        <f>ROUND(E301*F301,2)</f>
        <v>0</v>
      </c>
      <c r="H301" s="24"/>
      <c r="I301" s="24"/>
      <c r="J301" s="24"/>
    </row>
    <row r="302" spans="1:10" ht="20.100000000000001" customHeight="1" thickBot="1">
      <c r="A302" s="52"/>
      <c r="B302" s="53"/>
      <c r="C302" s="187"/>
      <c r="D302" s="188"/>
      <c r="E302" s="189"/>
      <c r="F302" s="190"/>
      <c r="G302" s="55"/>
      <c r="H302" s="24"/>
      <c r="I302" s="24"/>
      <c r="J302" s="24"/>
    </row>
    <row r="303" spans="1:10" ht="20.100000000000001" customHeight="1" thickBot="1">
      <c r="A303" s="46">
        <v>79</v>
      </c>
      <c r="B303" s="47">
        <v>944511811</v>
      </c>
      <c r="C303" s="66" t="s">
        <v>147</v>
      </c>
      <c r="D303" s="63" t="s">
        <v>108</v>
      </c>
      <c r="E303" s="64">
        <f>E299</f>
        <v>855</v>
      </c>
      <c r="F303" s="65"/>
      <c r="G303" s="51">
        <f>ROUND(E303*F303,2)</f>
        <v>0</v>
      </c>
      <c r="H303" s="24"/>
      <c r="I303" s="24"/>
      <c r="J303" s="24"/>
    </row>
    <row r="304" spans="1:10" ht="20.100000000000001" customHeight="1">
      <c r="A304" s="52"/>
      <c r="B304" s="53"/>
      <c r="C304" s="187"/>
      <c r="D304" s="188"/>
      <c r="E304" s="189"/>
      <c r="F304" s="190"/>
      <c r="G304" s="55"/>
      <c r="H304" s="24"/>
      <c r="I304" s="24"/>
      <c r="J304" s="24"/>
    </row>
    <row r="305" spans="1:10" ht="20.100000000000001" customHeight="1" thickBot="1">
      <c r="A305" s="52"/>
      <c r="B305" s="42">
        <v>9</v>
      </c>
      <c r="C305" s="191" t="s">
        <v>149</v>
      </c>
      <c r="D305" s="188"/>
      <c r="E305" s="189"/>
      <c r="F305" s="190"/>
      <c r="G305" s="45">
        <f>SUM(G306)</f>
        <v>0</v>
      </c>
      <c r="H305" s="24"/>
      <c r="I305" s="24"/>
      <c r="J305" s="24"/>
    </row>
    <row r="306" spans="1:10" ht="20.100000000000001" customHeight="1" thickBot="1">
      <c r="A306" s="46">
        <v>80</v>
      </c>
      <c r="B306" s="47">
        <v>998011003</v>
      </c>
      <c r="C306" s="48" t="s">
        <v>389</v>
      </c>
      <c r="D306" s="47" t="s">
        <v>112</v>
      </c>
      <c r="E306" s="49">
        <f>I306</f>
        <v>25.144069294000001</v>
      </c>
      <c r="F306" s="50"/>
      <c r="G306" s="51">
        <f>ROUND(E306*F306,2)</f>
        <v>0</v>
      </c>
      <c r="H306" s="24"/>
      <c r="I306" s="176">
        <f>SUM(I107:I305)</f>
        <v>25.144069294000001</v>
      </c>
      <c r="J306" s="24"/>
    </row>
    <row r="307" spans="1:10" ht="20.100000000000001" customHeight="1">
      <c r="A307" s="52"/>
      <c r="B307" s="53"/>
      <c r="C307" s="25"/>
      <c r="D307" s="53"/>
      <c r="E307" s="54"/>
      <c r="F307" s="55"/>
      <c r="G307" s="55"/>
      <c r="H307" s="24"/>
      <c r="I307" s="176"/>
      <c r="J307" s="24"/>
    </row>
    <row r="308" spans="1:10" ht="20.100000000000001" customHeight="1" thickBot="1">
      <c r="A308" s="52"/>
      <c r="B308" s="42">
        <v>10</v>
      </c>
      <c r="C308" s="191" t="s">
        <v>159</v>
      </c>
      <c r="D308" s="188"/>
      <c r="E308" s="189"/>
      <c r="F308" s="190"/>
      <c r="G308" s="45">
        <f>SUM(G309:G323)</f>
        <v>0</v>
      </c>
      <c r="H308" s="24"/>
      <c r="I308" s="24"/>
      <c r="J308" s="24"/>
    </row>
    <row r="309" spans="1:10" ht="20.100000000000001" customHeight="1" thickBot="1">
      <c r="A309" s="46">
        <v>81</v>
      </c>
      <c r="B309" s="47">
        <v>762341210</v>
      </c>
      <c r="C309" s="48" t="s">
        <v>392</v>
      </c>
      <c r="D309" s="47" t="s">
        <v>108</v>
      </c>
      <c r="E309" s="49">
        <f>E73</f>
        <v>180.9</v>
      </c>
      <c r="F309" s="50"/>
      <c r="G309" s="51">
        <f>ROUND(E309*F309,2)</f>
        <v>0</v>
      </c>
      <c r="H309" s="24"/>
      <c r="I309" s="24"/>
      <c r="J309" s="24"/>
    </row>
    <row r="310" spans="1:10" ht="20.100000000000001" customHeight="1" thickBot="1">
      <c r="A310" s="52"/>
      <c r="B310" s="53"/>
      <c r="D310" s="188"/>
      <c r="E310" s="189"/>
      <c r="F310" s="190"/>
      <c r="G310" s="55"/>
      <c r="H310" s="24"/>
      <c r="I310" s="24"/>
      <c r="J310" s="24"/>
    </row>
    <row r="311" spans="1:10" ht="20.100000000000001" customHeight="1" thickBot="1">
      <c r="A311" s="57">
        <v>82</v>
      </c>
      <c r="B311" s="180" t="s">
        <v>133</v>
      </c>
      <c r="C311" s="59" t="s">
        <v>160</v>
      </c>
      <c r="D311" s="58" t="s">
        <v>161</v>
      </c>
      <c r="E311" s="60">
        <f>E312</f>
        <v>5.6983499999999996</v>
      </c>
      <c r="F311" s="61"/>
      <c r="G311" s="62">
        <f>ROUND(E311*F311,2)</f>
        <v>0</v>
      </c>
      <c r="H311" s="24"/>
      <c r="I311" s="24"/>
      <c r="J311" s="24"/>
    </row>
    <row r="312" spans="1:10" ht="20.100000000000001" customHeight="1" thickBot="1">
      <c r="A312" s="192"/>
      <c r="B312" s="193"/>
      <c r="C312" s="232" t="s">
        <v>393</v>
      </c>
      <c r="D312" s="253"/>
      <c r="E312" s="238">
        <f>180.9*0.03*1.05</f>
        <v>5.6983499999999996</v>
      </c>
      <c r="F312" s="254"/>
      <c r="G312" s="254"/>
      <c r="H312" s="24"/>
      <c r="I312" s="24"/>
      <c r="J312" s="24"/>
    </row>
    <row r="313" spans="1:10" ht="20.100000000000001" customHeight="1" thickBot="1">
      <c r="A313" s="46">
        <v>83</v>
      </c>
      <c r="B313" s="47">
        <v>762342214</v>
      </c>
      <c r="C313" s="48" t="s">
        <v>394</v>
      </c>
      <c r="D313" s="47" t="s">
        <v>108</v>
      </c>
      <c r="E313" s="49">
        <f>E309</f>
        <v>180.9</v>
      </c>
      <c r="F313" s="50"/>
      <c r="G313" s="51">
        <f>ROUND(E313*F313,2)</f>
        <v>0</v>
      </c>
      <c r="H313" s="24"/>
      <c r="I313" s="24"/>
      <c r="J313" s="24"/>
    </row>
    <row r="314" spans="1:10" ht="20.100000000000001" customHeight="1" thickBot="1">
      <c r="A314" s="52"/>
      <c r="B314" s="53"/>
      <c r="D314" s="188"/>
      <c r="E314" s="189"/>
      <c r="F314" s="190"/>
      <c r="G314" s="55"/>
      <c r="H314" s="24"/>
      <c r="I314" s="24"/>
      <c r="J314" s="24"/>
    </row>
    <row r="315" spans="1:10" ht="20.100000000000001" customHeight="1" thickBot="1">
      <c r="A315" s="57">
        <v>84</v>
      </c>
      <c r="B315" s="180" t="s">
        <v>133</v>
      </c>
      <c r="C315" s="59" t="s">
        <v>395</v>
      </c>
      <c r="D315" s="58" t="s">
        <v>161</v>
      </c>
      <c r="E315" s="60">
        <f>E316</f>
        <v>0.32562000000000002</v>
      </c>
      <c r="F315" s="61"/>
      <c r="G315" s="62">
        <f>ROUND(E315*F315,2)</f>
        <v>0</v>
      </c>
      <c r="H315" s="24"/>
      <c r="I315" s="24"/>
      <c r="J315" s="24"/>
    </row>
    <row r="316" spans="1:10" ht="20.100000000000001" customHeight="1" thickBot="1">
      <c r="A316" s="192"/>
      <c r="B316" s="193"/>
      <c r="C316" s="232" t="s">
        <v>396</v>
      </c>
      <c r="D316" s="253"/>
      <c r="E316" s="238">
        <f>180.9*1.2*0.03*0.05</f>
        <v>0.32562000000000002</v>
      </c>
      <c r="F316" s="254"/>
      <c r="G316" s="254"/>
      <c r="H316" s="24"/>
      <c r="I316" s="24"/>
      <c r="J316" s="24" t="s">
        <v>556</v>
      </c>
    </row>
    <row r="317" spans="1:10" ht="20.100000000000001" customHeight="1" thickBot="1">
      <c r="A317" s="46">
        <v>85</v>
      </c>
      <c r="B317" s="47">
        <v>762342511</v>
      </c>
      <c r="C317" s="48" t="s">
        <v>398</v>
      </c>
      <c r="D317" s="47" t="s">
        <v>124</v>
      </c>
      <c r="E317" s="49">
        <v>200</v>
      </c>
      <c r="F317" s="50"/>
      <c r="G317" s="51">
        <f>ROUND(E317*F317,2)</f>
        <v>0</v>
      </c>
      <c r="H317" s="24"/>
      <c r="I317" s="24"/>
      <c r="J317" s="24"/>
    </row>
    <row r="318" spans="1:10" ht="20.100000000000001" customHeight="1" thickBot="1">
      <c r="A318" s="192"/>
      <c r="B318" s="193"/>
      <c r="C318" s="232"/>
      <c r="D318" s="253"/>
      <c r="E318" s="238"/>
      <c r="F318" s="254"/>
      <c r="G318" s="254"/>
      <c r="H318" s="24"/>
      <c r="I318" s="24"/>
      <c r="J318" s="24"/>
    </row>
    <row r="319" spans="1:10" ht="20.100000000000001" customHeight="1" thickBot="1">
      <c r="A319" s="57">
        <v>86</v>
      </c>
      <c r="B319" s="180" t="s">
        <v>133</v>
      </c>
      <c r="C319" s="59" t="s">
        <v>395</v>
      </c>
      <c r="D319" s="58" t="s">
        <v>161</v>
      </c>
      <c r="E319" s="60">
        <f>E320</f>
        <v>0.51839999999999997</v>
      </c>
      <c r="F319" s="61"/>
      <c r="G319" s="62">
        <f>ROUND(E319*F319,2)</f>
        <v>0</v>
      </c>
      <c r="H319" s="24"/>
      <c r="I319" s="24"/>
      <c r="J319" s="24"/>
    </row>
    <row r="320" spans="1:10" ht="20.100000000000001" customHeight="1" thickBot="1">
      <c r="A320" s="192"/>
      <c r="B320" s="193"/>
      <c r="C320" s="232" t="s">
        <v>399</v>
      </c>
      <c r="D320" s="253"/>
      <c r="E320" s="238">
        <f>180*1.2*0.04*0.06</f>
        <v>0.51839999999999997</v>
      </c>
      <c r="F320" s="254"/>
      <c r="G320" s="254"/>
      <c r="H320" s="24"/>
      <c r="I320" s="24"/>
      <c r="J320" s="24"/>
    </row>
    <row r="321" spans="1:10" ht="20.100000000000001" customHeight="1" thickBot="1">
      <c r="A321" s="46">
        <v>87</v>
      </c>
      <c r="B321" s="47">
        <v>762395000</v>
      </c>
      <c r="C321" s="48" t="s">
        <v>400</v>
      </c>
      <c r="D321" s="47" t="s">
        <v>124</v>
      </c>
      <c r="E321" s="49">
        <f>E311+E315+E319</f>
        <v>6.5423699999999991</v>
      </c>
      <c r="F321" s="50"/>
      <c r="G321" s="51">
        <f>ROUND(E321*F321,2)</f>
        <v>0</v>
      </c>
      <c r="H321" s="24"/>
      <c r="I321" s="24"/>
      <c r="J321" s="24"/>
    </row>
    <row r="322" spans="1:10" ht="20.100000000000001" customHeight="1" thickBot="1">
      <c r="A322" s="52"/>
      <c r="B322" s="53"/>
      <c r="C322" s="25"/>
      <c r="D322" s="53"/>
      <c r="E322" s="54"/>
      <c r="F322" s="55"/>
      <c r="G322" s="55"/>
      <c r="H322" s="24"/>
      <c r="I322" s="24"/>
      <c r="J322" s="24"/>
    </row>
    <row r="323" spans="1:10" ht="20.100000000000001" customHeight="1" thickBot="1">
      <c r="A323" s="46">
        <v>88</v>
      </c>
      <c r="B323" s="47">
        <v>998762203</v>
      </c>
      <c r="C323" s="48" t="s">
        <v>397</v>
      </c>
      <c r="D323" s="47" t="s">
        <v>162</v>
      </c>
      <c r="E323" s="49">
        <v>5.79</v>
      </c>
      <c r="F323" s="50"/>
      <c r="G323" s="51">
        <f>E323*F323*0.01</f>
        <v>0</v>
      </c>
      <c r="H323" s="24"/>
      <c r="I323" s="24"/>
      <c r="J323" s="24"/>
    </row>
    <row r="324" spans="1:10" ht="20.100000000000001" customHeight="1">
      <c r="A324" s="52"/>
      <c r="B324" s="53"/>
      <c r="C324" s="25"/>
      <c r="D324" s="53"/>
      <c r="E324" s="54"/>
      <c r="F324" s="55"/>
      <c r="G324" s="55"/>
      <c r="H324" s="24"/>
      <c r="I324" s="24"/>
      <c r="J324" s="24"/>
    </row>
    <row r="325" spans="1:10" ht="20.100000000000001" customHeight="1" thickBot="1">
      <c r="A325" s="41"/>
      <c r="B325" s="42">
        <v>11</v>
      </c>
      <c r="C325" s="43" t="s">
        <v>153</v>
      </c>
      <c r="D325" s="42"/>
      <c r="E325" s="44"/>
      <c r="F325" s="45"/>
      <c r="G325" s="45">
        <f>SUM(G326:G387)</f>
        <v>0</v>
      </c>
      <c r="H325" s="24"/>
      <c r="I325" s="24"/>
      <c r="J325" s="24"/>
    </row>
    <row r="326" spans="1:10" ht="20.100000000000001" customHeight="1" thickBot="1">
      <c r="A326" s="46">
        <v>89</v>
      </c>
      <c r="B326" s="47">
        <v>764021403</v>
      </c>
      <c r="C326" s="48" t="s">
        <v>401</v>
      </c>
      <c r="D326" s="47" t="s">
        <v>124</v>
      </c>
      <c r="E326" s="49">
        <f>E327</f>
        <v>71.11</v>
      </c>
      <c r="F326" s="50"/>
      <c r="G326" s="51">
        <f>ROUND(E326*F326,2)</f>
        <v>0</v>
      </c>
      <c r="H326" s="24"/>
      <c r="I326" s="24"/>
      <c r="J326" s="24"/>
    </row>
    <row r="327" spans="1:10" ht="20.100000000000001" customHeight="1" thickBot="1">
      <c r="A327" s="259"/>
      <c r="B327" s="213" t="s">
        <v>503</v>
      </c>
      <c r="C327" s="214" t="s">
        <v>408</v>
      </c>
      <c r="D327" s="260"/>
      <c r="E327" s="215">
        <f>11.75+11.4+5.85+0.45+8.1+6.5+2.15+5.2+2.7+2.7+6+2.56+3.2+2.55</f>
        <v>71.11</v>
      </c>
      <c r="F327" s="261"/>
      <c r="G327" s="261"/>
      <c r="H327" s="24"/>
      <c r="I327" s="24"/>
      <c r="J327" s="24"/>
    </row>
    <row r="328" spans="1:10" ht="20.100000000000001" customHeight="1" thickBot="1">
      <c r="A328" s="46">
        <v>90</v>
      </c>
      <c r="B328" s="47">
        <v>764221467</v>
      </c>
      <c r="C328" s="48" t="s">
        <v>402</v>
      </c>
      <c r="D328" s="47" t="s">
        <v>124</v>
      </c>
      <c r="E328" s="49">
        <f>E329</f>
        <v>26.800000000000004</v>
      </c>
      <c r="F328" s="50"/>
      <c r="G328" s="51">
        <f>ROUND(E328*F328,2)</f>
        <v>0</v>
      </c>
      <c r="H328" s="24"/>
      <c r="I328" s="24"/>
      <c r="J328" s="24"/>
    </row>
    <row r="329" spans="1:10" ht="20.100000000000001" customHeight="1" thickBot="1">
      <c r="A329" s="259"/>
      <c r="B329" s="213" t="s">
        <v>504</v>
      </c>
      <c r="C329" s="214" t="s">
        <v>403</v>
      </c>
      <c r="D329" s="260"/>
      <c r="E329" s="215">
        <f>5+4.8+2.5+2.5+4.8+4+1.6+1.6</f>
        <v>26.800000000000004</v>
      </c>
      <c r="F329" s="261"/>
      <c r="G329" s="261"/>
      <c r="H329" s="24"/>
      <c r="I329" s="24"/>
      <c r="J329" s="24"/>
    </row>
    <row r="330" spans="1:10" ht="20.100000000000001" customHeight="1" thickBot="1">
      <c r="A330" s="46">
        <v>91</v>
      </c>
      <c r="B330" s="47">
        <v>764222402</v>
      </c>
      <c r="C330" s="48" t="s">
        <v>404</v>
      </c>
      <c r="D330" s="47" t="s">
        <v>124</v>
      </c>
      <c r="E330" s="49">
        <f>E331</f>
        <v>2.4</v>
      </c>
      <c r="F330" s="50"/>
      <c r="G330" s="51">
        <f>ROUND(E330*F330,2)</f>
        <v>0</v>
      </c>
      <c r="H330" s="24"/>
      <c r="I330" s="24"/>
      <c r="J330" s="24"/>
    </row>
    <row r="331" spans="1:10" ht="20.100000000000001" customHeight="1" thickBot="1">
      <c r="A331" s="259"/>
      <c r="B331" s="213" t="s">
        <v>505</v>
      </c>
      <c r="C331" s="214" t="s">
        <v>405</v>
      </c>
      <c r="D331" s="260"/>
      <c r="E331" s="215">
        <f>1.2+1.2</f>
        <v>2.4</v>
      </c>
      <c r="F331" s="261"/>
      <c r="G331" s="261"/>
      <c r="H331" s="24"/>
      <c r="I331" s="24"/>
      <c r="J331" s="24"/>
    </row>
    <row r="332" spans="1:10" ht="20.100000000000001" customHeight="1" thickBot="1">
      <c r="A332" s="46">
        <v>92</v>
      </c>
      <c r="B332" s="47">
        <v>764222433</v>
      </c>
      <c r="C332" s="48" t="s">
        <v>406</v>
      </c>
      <c r="D332" s="47" t="s">
        <v>124</v>
      </c>
      <c r="E332" s="49">
        <f>E333</f>
        <v>71.100000000000009</v>
      </c>
      <c r="F332" s="50"/>
      <c r="G332" s="51">
        <f>ROUND(E332*F332,2)</f>
        <v>0</v>
      </c>
      <c r="H332" s="24"/>
      <c r="I332" s="24"/>
      <c r="J332" s="24"/>
    </row>
    <row r="333" spans="1:10" ht="20.100000000000001" customHeight="1" thickBot="1">
      <c r="A333" s="259"/>
      <c r="B333" s="213" t="s">
        <v>506</v>
      </c>
      <c r="C333" s="214" t="s">
        <v>407</v>
      </c>
      <c r="D333" s="260"/>
      <c r="E333" s="215">
        <f>11.75+11.4+5.85+0.45+8.1+6.5+2.15+5.2+2.7+2.7+6+2.55+3.2+2.55</f>
        <v>71.100000000000009</v>
      </c>
      <c r="F333" s="261"/>
      <c r="G333" s="261"/>
      <c r="H333" s="24"/>
      <c r="I333" s="24"/>
      <c r="J333" s="24"/>
    </row>
    <row r="334" spans="1:10" ht="20.100000000000001" customHeight="1" thickBot="1">
      <c r="A334" s="46">
        <v>93</v>
      </c>
      <c r="B334" s="47">
        <v>764223452</v>
      </c>
      <c r="C334" s="48" t="s">
        <v>409</v>
      </c>
      <c r="D334" s="47" t="s">
        <v>111</v>
      </c>
      <c r="E334" s="49">
        <v>3</v>
      </c>
      <c r="F334" s="50"/>
      <c r="G334" s="51">
        <f>ROUND(E334*F334,2)</f>
        <v>0</v>
      </c>
      <c r="H334" s="24"/>
      <c r="I334" s="24"/>
      <c r="J334" s="24"/>
    </row>
    <row r="335" spans="1:10" ht="20.100000000000001" customHeight="1" thickBot="1">
      <c r="A335" s="41"/>
      <c r="B335" s="213" t="s">
        <v>507</v>
      </c>
      <c r="C335" s="25"/>
      <c r="D335" s="42"/>
      <c r="E335" s="56"/>
      <c r="F335" s="45"/>
      <c r="G335" s="45"/>
      <c r="H335" s="24"/>
      <c r="I335" s="24"/>
      <c r="J335" s="24"/>
    </row>
    <row r="336" spans="1:10" ht="20.100000000000001" customHeight="1" thickBot="1">
      <c r="A336" s="46">
        <v>94</v>
      </c>
      <c r="B336" s="47">
        <v>764224405</v>
      </c>
      <c r="C336" s="48" t="s">
        <v>410</v>
      </c>
      <c r="D336" s="47" t="s">
        <v>124</v>
      </c>
      <c r="E336" s="49">
        <f>E337</f>
        <v>4.84</v>
      </c>
      <c r="F336" s="50"/>
      <c r="G336" s="51">
        <f>ROUND(E336*F336,2)</f>
        <v>0</v>
      </c>
      <c r="H336" s="24"/>
      <c r="I336" s="24"/>
      <c r="J336" s="24"/>
    </row>
    <row r="337" spans="1:10" ht="20.100000000000001" customHeight="1" thickBot="1">
      <c r="A337" s="259"/>
      <c r="B337" s="213" t="s">
        <v>500</v>
      </c>
      <c r="C337" s="214" t="s">
        <v>198</v>
      </c>
      <c r="D337" s="260"/>
      <c r="E337" s="215">
        <f>2.66+2.18</f>
        <v>4.84</v>
      </c>
      <c r="F337" s="261"/>
      <c r="G337" s="261"/>
      <c r="H337" s="24"/>
      <c r="I337" s="24"/>
      <c r="J337" s="24"/>
    </row>
    <row r="338" spans="1:10" ht="20.100000000000001" customHeight="1" thickBot="1">
      <c r="A338" s="46">
        <v>95</v>
      </c>
      <c r="B338" s="47">
        <v>764225445</v>
      </c>
      <c r="C338" s="48" t="s">
        <v>411</v>
      </c>
      <c r="D338" s="47" t="s">
        <v>122</v>
      </c>
      <c r="E338" s="49">
        <v>1</v>
      </c>
      <c r="F338" s="50"/>
      <c r="G338" s="51">
        <f>ROUND(E338*F338,2)</f>
        <v>0</v>
      </c>
      <c r="H338" s="24"/>
      <c r="I338" s="24"/>
      <c r="J338" s="24"/>
    </row>
    <row r="339" spans="1:10" ht="20.100000000000001" customHeight="1" thickBot="1">
      <c r="A339" s="41"/>
      <c r="B339" s="213"/>
      <c r="D339" s="42"/>
      <c r="E339" s="56"/>
      <c r="F339" s="45"/>
      <c r="G339" s="45"/>
      <c r="H339" s="24"/>
      <c r="I339" s="24"/>
      <c r="J339" s="24"/>
    </row>
    <row r="340" spans="1:10" ht="20.100000000000001" customHeight="1" thickBot="1">
      <c r="A340" s="46">
        <v>96</v>
      </c>
      <c r="B340" s="47">
        <v>764226403</v>
      </c>
      <c r="C340" s="48" t="s">
        <v>412</v>
      </c>
      <c r="D340" s="47" t="s">
        <v>124</v>
      </c>
      <c r="E340" s="49">
        <f>SUM(E341:E350)</f>
        <v>34.950000000000003</v>
      </c>
      <c r="F340" s="50"/>
      <c r="G340" s="51">
        <f>ROUND(E340*F340,2)</f>
        <v>0</v>
      </c>
      <c r="H340" s="24"/>
      <c r="I340" s="24"/>
      <c r="J340" s="24"/>
    </row>
    <row r="341" spans="1:10" ht="20.100000000000001" customHeight="1">
      <c r="A341" s="212"/>
      <c r="B341" s="213" t="s">
        <v>414</v>
      </c>
      <c r="C341" s="214" t="s">
        <v>413</v>
      </c>
      <c r="D341" s="213"/>
      <c r="E341" s="218">
        <f>1.3*11</f>
        <v>14.3</v>
      </c>
      <c r="F341" s="216"/>
      <c r="G341" s="216"/>
      <c r="H341" s="24"/>
      <c r="I341" s="24"/>
      <c r="J341" s="24"/>
    </row>
    <row r="342" spans="1:10" ht="20.100000000000001" customHeight="1">
      <c r="A342" s="212"/>
      <c r="B342" s="213" t="s">
        <v>415</v>
      </c>
      <c r="C342" s="214" t="s">
        <v>416</v>
      </c>
      <c r="D342" s="213"/>
      <c r="E342" s="215">
        <f>2.1*1</f>
        <v>2.1</v>
      </c>
      <c r="F342" s="216"/>
      <c r="G342" s="216"/>
      <c r="H342" s="24"/>
      <c r="I342" s="24"/>
      <c r="J342" s="24"/>
    </row>
    <row r="343" spans="1:10" ht="20.100000000000001" customHeight="1">
      <c r="A343" s="212"/>
      <c r="B343" s="213" t="s">
        <v>417</v>
      </c>
      <c r="C343" s="214" t="s">
        <v>418</v>
      </c>
      <c r="D343" s="213"/>
      <c r="E343" s="215">
        <f>1.05*2</f>
        <v>2.1</v>
      </c>
      <c r="F343" s="216"/>
      <c r="G343" s="216"/>
      <c r="H343" s="24"/>
      <c r="I343" s="24"/>
      <c r="J343" s="24"/>
    </row>
    <row r="344" spans="1:10" ht="20.100000000000001" customHeight="1">
      <c r="A344" s="212"/>
      <c r="B344" s="213" t="s">
        <v>419</v>
      </c>
      <c r="C344" s="214" t="s">
        <v>498</v>
      </c>
      <c r="D344" s="213"/>
      <c r="E344" s="215">
        <f>0.5*2</f>
        <v>1</v>
      </c>
      <c r="F344" s="216"/>
      <c r="G344" s="216"/>
      <c r="H344" s="24"/>
      <c r="I344" s="24"/>
      <c r="J344" s="24"/>
    </row>
    <row r="345" spans="1:10" ht="20.100000000000001" customHeight="1">
      <c r="A345" s="212"/>
      <c r="B345" s="213" t="s">
        <v>420</v>
      </c>
      <c r="C345" s="214" t="s">
        <v>421</v>
      </c>
      <c r="D345" s="213"/>
      <c r="E345" s="215">
        <f>2.6*2</f>
        <v>5.2</v>
      </c>
      <c r="F345" s="216"/>
      <c r="G345" s="216"/>
      <c r="H345" s="24"/>
      <c r="I345" s="24"/>
      <c r="J345" s="24"/>
    </row>
    <row r="346" spans="1:10" ht="20.100000000000001" customHeight="1">
      <c r="A346" s="259"/>
      <c r="B346" s="213" t="s">
        <v>422</v>
      </c>
      <c r="C346" s="214" t="s">
        <v>423</v>
      </c>
      <c r="D346" s="260"/>
      <c r="E346" s="215">
        <f>0.6*1</f>
        <v>0.6</v>
      </c>
      <c r="F346" s="261"/>
      <c r="G346" s="261"/>
      <c r="H346" s="24"/>
      <c r="I346" s="24"/>
      <c r="J346" s="24"/>
    </row>
    <row r="347" spans="1:10" ht="20.100000000000001" customHeight="1">
      <c r="A347" s="259"/>
      <c r="B347" s="213" t="s">
        <v>424</v>
      </c>
      <c r="C347" s="214" t="s">
        <v>425</v>
      </c>
      <c r="D347" s="260"/>
      <c r="E347" s="215">
        <f>1.2*3</f>
        <v>3.5999999999999996</v>
      </c>
      <c r="F347" s="261"/>
      <c r="G347" s="261"/>
      <c r="H347" s="24"/>
      <c r="I347" s="24"/>
      <c r="J347" s="24"/>
    </row>
    <row r="348" spans="1:10" ht="20.100000000000001" customHeight="1">
      <c r="A348" s="259"/>
      <c r="B348" s="213" t="s">
        <v>484</v>
      </c>
      <c r="C348" s="214" t="s">
        <v>495</v>
      </c>
      <c r="D348" s="260"/>
      <c r="E348" s="215">
        <f>1.1*2</f>
        <v>2.2000000000000002</v>
      </c>
      <c r="F348" s="261"/>
      <c r="G348" s="261"/>
      <c r="H348" s="24"/>
      <c r="I348" s="24"/>
      <c r="J348" s="24"/>
    </row>
    <row r="349" spans="1:10" ht="20.100000000000001" customHeight="1">
      <c r="A349" s="259"/>
      <c r="B349" s="213" t="s">
        <v>493</v>
      </c>
      <c r="C349" s="214" t="s">
        <v>496</v>
      </c>
      <c r="D349" s="260"/>
      <c r="E349" s="215">
        <f>0.85*1</f>
        <v>0.85</v>
      </c>
      <c r="F349" s="261"/>
      <c r="G349" s="261"/>
      <c r="H349" s="24"/>
      <c r="I349" s="24"/>
      <c r="J349" s="24"/>
    </row>
    <row r="350" spans="1:10" ht="20.100000000000001" customHeight="1" thickBot="1">
      <c r="A350" s="259"/>
      <c r="B350" s="213" t="s">
        <v>494</v>
      </c>
      <c r="C350" s="214" t="s">
        <v>497</v>
      </c>
      <c r="D350" s="260"/>
      <c r="E350" s="215">
        <f>1.5*2</f>
        <v>3</v>
      </c>
      <c r="F350" s="261"/>
      <c r="G350" s="261"/>
      <c r="H350" s="24"/>
      <c r="I350" s="24"/>
      <c r="J350" s="24"/>
    </row>
    <row r="351" spans="1:10" ht="20.100000000000001" customHeight="1" thickBot="1">
      <c r="A351" s="46">
        <v>97</v>
      </c>
      <c r="B351" s="47">
        <v>764226465</v>
      </c>
      <c r="C351" s="48" t="s">
        <v>426</v>
      </c>
      <c r="D351" s="47" t="s">
        <v>111</v>
      </c>
      <c r="E351" s="49">
        <f>E352</f>
        <v>14</v>
      </c>
      <c r="F351" s="50"/>
      <c r="G351" s="51">
        <f>ROUND(E351*F351,2)</f>
        <v>0</v>
      </c>
      <c r="H351" s="24"/>
      <c r="I351" s="24"/>
      <c r="J351" s="24"/>
    </row>
    <row r="352" spans="1:10" ht="20.100000000000001" customHeight="1" thickBot="1">
      <c r="A352" s="259"/>
      <c r="B352" s="213"/>
      <c r="C352" s="214" t="s">
        <v>427</v>
      </c>
      <c r="D352" s="260"/>
      <c r="E352" s="215">
        <f>11+1+2</f>
        <v>14</v>
      </c>
      <c r="F352" s="261"/>
      <c r="G352" s="261"/>
      <c r="H352" s="24"/>
      <c r="I352" s="24"/>
      <c r="J352" s="24"/>
    </row>
    <row r="353" spans="1:10" ht="20.100000000000001" customHeight="1" thickBot="1">
      <c r="A353" s="46">
        <v>98</v>
      </c>
      <c r="B353" s="47">
        <v>764228404</v>
      </c>
      <c r="C353" s="48" t="s">
        <v>428</v>
      </c>
      <c r="D353" s="47" t="s">
        <v>126</v>
      </c>
      <c r="E353" s="49">
        <f>E354</f>
        <v>40.949999999999996</v>
      </c>
      <c r="F353" s="50"/>
      <c r="G353" s="51">
        <f>ROUND(E353*F353,2)</f>
        <v>0</v>
      </c>
      <c r="H353" s="24"/>
      <c r="I353" s="24"/>
      <c r="J353" s="24"/>
    </row>
    <row r="354" spans="1:10" ht="20.100000000000001" customHeight="1" thickBot="1">
      <c r="A354" s="259"/>
      <c r="B354" s="213" t="s">
        <v>483</v>
      </c>
      <c r="C354" s="214" t="s">
        <v>429</v>
      </c>
      <c r="D354" s="260"/>
      <c r="E354" s="215">
        <f>11.05+0.5+5.79+5.95+0.45+7.4+3.94+5.87</f>
        <v>40.949999999999996</v>
      </c>
      <c r="F354" s="261"/>
      <c r="G354" s="261"/>
      <c r="H354" s="24"/>
      <c r="I354" s="24"/>
      <c r="J354" s="24"/>
    </row>
    <row r="355" spans="1:10" ht="20.100000000000001" customHeight="1" thickBot="1">
      <c r="A355" s="46">
        <v>99</v>
      </c>
      <c r="B355" s="47">
        <v>764228445</v>
      </c>
      <c r="C355" s="48" t="s">
        <v>430</v>
      </c>
      <c r="D355" s="47" t="s">
        <v>111</v>
      </c>
      <c r="E355" s="49">
        <v>6</v>
      </c>
      <c r="F355" s="50"/>
      <c r="G355" s="51">
        <f>ROUND(E355*F355,2)</f>
        <v>0</v>
      </c>
      <c r="H355" s="24"/>
      <c r="I355" s="24"/>
      <c r="J355" s="24"/>
    </row>
    <row r="356" spans="1:10" ht="20.100000000000001" customHeight="1" thickBot="1">
      <c r="A356" s="259"/>
      <c r="B356" s="213"/>
      <c r="C356" s="214"/>
      <c r="D356" s="260"/>
      <c r="E356" s="215"/>
      <c r="F356" s="261"/>
      <c r="G356" s="261"/>
      <c r="H356" s="24"/>
      <c r="I356" s="24"/>
      <c r="J356" s="24"/>
    </row>
    <row r="357" spans="1:10" ht="20.100000000000001" customHeight="1" thickBot="1">
      <c r="A357" s="46">
        <v>100</v>
      </c>
      <c r="B357" s="47">
        <v>764228454</v>
      </c>
      <c r="C357" s="48" t="s">
        <v>431</v>
      </c>
      <c r="D357" s="47" t="s">
        <v>124</v>
      </c>
      <c r="E357" s="49">
        <f>E358</f>
        <v>9.6000000000000014</v>
      </c>
      <c r="F357" s="50"/>
      <c r="G357" s="51">
        <f>ROUND(E357*F357,2)</f>
        <v>0</v>
      </c>
      <c r="H357" s="24"/>
      <c r="I357" s="24"/>
      <c r="J357" s="24"/>
    </row>
    <row r="358" spans="1:10" ht="20.100000000000001" customHeight="1" thickBot="1">
      <c r="A358" s="259"/>
      <c r="B358" s="213" t="s">
        <v>501</v>
      </c>
      <c r="C358" s="214" t="s">
        <v>502</v>
      </c>
      <c r="D358" s="260"/>
      <c r="E358" s="215">
        <f>2.6*2+4.4</f>
        <v>9.6000000000000014</v>
      </c>
      <c r="F358" s="261"/>
      <c r="G358" s="261"/>
      <c r="H358" s="24"/>
      <c r="I358" s="24"/>
      <c r="J358" s="24"/>
    </row>
    <row r="359" spans="1:10" ht="20.100000000000001" customHeight="1" thickBot="1">
      <c r="A359" s="46">
        <v>101</v>
      </c>
      <c r="B359" s="47">
        <v>764228455</v>
      </c>
      <c r="C359" s="48" t="s">
        <v>486</v>
      </c>
      <c r="D359" s="47" t="s">
        <v>124</v>
      </c>
      <c r="E359" s="49">
        <f>E360</f>
        <v>8</v>
      </c>
      <c r="F359" s="50"/>
      <c r="G359" s="51">
        <f>ROUND(E359*F359,2)</f>
        <v>0</v>
      </c>
      <c r="H359" s="24"/>
      <c r="I359" s="24"/>
      <c r="J359" s="24"/>
    </row>
    <row r="360" spans="1:10" ht="20.100000000000001" customHeight="1" thickBot="1">
      <c r="A360" s="259"/>
      <c r="B360" s="213" t="s">
        <v>499</v>
      </c>
      <c r="C360" s="214" t="s">
        <v>432</v>
      </c>
      <c r="D360" s="260"/>
      <c r="E360" s="215">
        <f>7.2+0.4+0.4</f>
        <v>8</v>
      </c>
      <c r="F360" s="261"/>
      <c r="G360" s="261"/>
      <c r="H360" s="24"/>
      <c r="I360" s="24"/>
      <c r="J360" s="24"/>
    </row>
    <row r="361" spans="1:10" ht="20.100000000000001" customHeight="1" thickBot="1">
      <c r="A361" s="46">
        <v>102</v>
      </c>
      <c r="B361" s="47">
        <v>764322415</v>
      </c>
      <c r="C361" s="48" t="s">
        <v>433</v>
      </c>
      <c r="D361" s="47" t="s">
        <v>124</v>
      </c>
      <c r="E361" s="49">
        <f>E362</f>
        <v>12.399999999999999</v>
      </c>
      <c r="F361" s="50"/>
      <c r="G361" s="51">
        <f>ROUND(E361*F361,2)</f>
        <v>0</v>
      </c>
      <c r="H361" s="24"/>
      <c r="I361" s="24"/>
      <c r="J361" s="24"/>
    </row>
    <row r="362" spans="1:10" ht="20.100000000000001" customHeight="1" thickBot="1">
      <c r="A362" s="259"/>
      <c r="B362" s="213" t="s">
        <v>508</v>
      </c>
      <c r="C362" s="214" t="s">
        <v>485</v>
      </c>
      <c r="D362" s="260"/>
      <c r="E362" s="215">
        <f>3+3+3.2+3.2</f>
        <v>12.399999999999999</v>
      </c>
      <c r="F362" s="261"/>
      <c r="G362" s="261"/>
      <c r="H362" s="24"/>
      <c r="I362" s="24"/>
      <c r="J362" s="24"/>
    </row>
    <row r="363" spans="1:10" ht="20.100000000000001" customHeight="1" thickBot="1">
      <c r="A363" s="46">
        <v>103</v>
      </c>
      <c r="B363" s="47">
        <v>764324412</v>
      </c>
      <c r="C363" s="48" t="s">
        <v>434</v>
      </c>
      <c r="D363" s="47" t="s">
        <v>108</v>
      </c>
      <c r="E363" s="49">
        <v>1.5</v>
      </c>
      <c r="F363" s="50"/>
      <c r="G363" s="51">
        <f>ROUND(E363*F363,2)</f>
        <v>0</v>
      </c>
      <c r="H363" s="24"/>
      <c r="I363" s="24"/>
      <c r="J363" s="24"/>
    </row>
    <row r="364" spans="1:10" ht="20.100000000000001" customHeight="1" thickBot="1">
      <c r="A364" s="259"/>
      <c r="B364" s="213" t="s">
        <v>509</v>
      </c>
      <c r="C364" s="214"/>
      <c r="D364" s="260"/>
      <c r="E364" s="215"/>
      <c r="F364" s="261"/>
      <c r="G364" s="261"/>
      <c r="H364" s="24"/>
      <c r="I364" s="24"/>
      <c r="J364" s="24"/>
    </row>
    <row r="365" spans="1:10" ht="20.100000000000001" customHeight="1" thickBot="1">
      <c r="A365" s="46">
        <v>104</v>
      </c>
      <c r="B365" s="47">
        <v>764325423</v>
      </c>
      <c r="C365" s="48" t="s">
        <v>435</v>
      </c>
      <c r="D365" s="47" t="s">
        <v>111</v>
      </c>
      <c r="E365" s="49">
        <v>3</v>
      </c>
      <c r="F365" s="50"/>
      <c r="G365" s="51">
        <f>ROUND(E365*F365,2)</f>
        <v>0</v>
      </c>
      <c r="H365" s="24"/>
      <c r="I365" s="24"/>
      <c r="J365" s="24"/>
    </row>
    <row r="366" spans="1:10" ht="20.100000000000001" customHeight="1" thickBot="1">
      <c r="A366" s="52"/>
      <c r="B366" s="53"/>
      <c r="C366" s="25"/>
      <c r="D366" s="53"/>
      <c r="E366" s="54"/>
      <c r="F366" s="55"/>
      <c r="G366" s="55"/>
      <c r="H366" s="24"/>
      <c r="I366" s="24"/>
      <c r="J366" s="24"/>
    </row>
    <row r="367" spans="1:10" ht="20.100000000000001" customHeight="1" thickBot="1">
      <c r="A367" s="46">
        <v>105</v>
      </c>
      <c r="B367" s="47">
        <v>764523407</v>
      </c>
      <c r="C367" s="48" t="s">
        <v>436</v>
      </c>
      <c r="D367" s="47" t="s">
        <v>126</v>
      </c>
      <c r="E367" s="49">
        <f>SUM(E368:E369)</f>
        <v>62.440000000000012</v>
      </c>
      <c r="F367" s="50"/>
      <c r="G367" s="51">
        <f>ROUND(E367*F367,2)</f>
        <v>0</v>
      </c>
      <c r="H367" s="24"/>
      <c r="I367" s="24"/>
      <c r="J367" s="24"/>
    </row>
    <row r="368" spans="1:10" ht="20.100000000000001" customHeight="1">
      <c r="A368" s="212"/>
      <c r="B368" s="213" t="s">
        <v>511</v>
      </c>
      <c r="C368" s="214" t="s">
        <v>437</v>
      </c>
      <c r="D368" s="213"/>
      <c r="E368" s="215">
        <f>11.75+11.04+5.85+0.5+8.1+6.5+2.15+5.2+2.35+2.35+3.2+2.7+2.7+6</f>
        <v>70.390000000000015</v>
      </c>
      <c r="F368" s="216"/>
      <c r="G368" s="216"/>
      <c r="H368" s="24"/>
      <c r="I368" s="24"/>
      <c r="J368" s="24"/>
    </row>
    <row r="369" spans="1:10" ht="20.100000000000001" customHeight="1" thickBot="1">
      <c r="A369" s="212"/>
      <c r="B369" s="213"/>
      <c r="C369" s="214" t="s">
        <v>438</v>
      </c>
      <c r="D369" s="213"/>
      <c r="E369" s="215">
        <f>(5.24+2.71)*-1</f>
        <v>-7.95</v>
      </c>
      <c r="F369" s="216"/>
      <c r="G369" s="216"/>
      <c r="H369" s="24"/>
      <c r="I369" s="24"/>
      <c r="J369" s="24"/>
    </row>
    <row r="370" spans="1:10" ht="20.100000000000001" customHeight="1" thickBot="1">
      <c r="A370" s="46">
        <v>106</v>
      </c>
      <c r="B370" s="47">
        <v>764523409</v>
      </c>
      <c r="C370" s="48" t="s">
        <v>439</v>
      </c>
      <c r="D370" s="47" t="s">
        <v>126</v>
      </c>
      <c r="E370" s="49">
        <f>E371</f>
        <v>7.95</v>
      </c>
      <c r="F370" s="50"/>
      <c r="G370" s="51">
        <f>ROUND(E370*F370,2)</f>
        <v>0</v>
      </c>
      <c r="H370" s="24"/>
      <c r="I370" s="24"/>
      <c r="J370" s="24"/>
    </row>
    <row r="371" spans="1:10" ht="20.100000000000001" customHeight="1" thickBot="1">
      <c r="A371" s="52"/>
      <c r="B371" s="213" t="s">
        <v>510</v>
      </c>
      <c r="C371" s="25"/>
      <c r="D371" s="53"/>
      <c r="E371" s="54">
        <v>7.95</v>
      </c>
      <c r="F371" s="55"/>
      <c r="G371" s="55"/>
      <c r="H371" s="24"/>
      <c r="I371" s="24"/>
      <c r="J371" s="24"/>
    </row>
    <row r="372" spans="1:10" ht="20.100000000000001" customHeight="1" thickBot="1">
      <c r="A372" s="46">
        <v>107</v>
      </c>
      <c r="B372" s="47">
        <v>764523427</v>
      </c>
      <c r="C372" s="48" t="s">
        <v>440</v>
      </c>
      <c r="D372" s="47" t="s">
        <v>111</v>
      </c>
      <c r="E372" s="49">
        <f>E373</f>
        <v>12</v>
      </c>
      <c r="F372" s="50"/>
      <c r="G372" s="51">
        <f>ROUND(E372*F372,2)</f>
        <v>0</v>
      </c>
      <c r="H372" s="24"/>
      <c r="I372" s="24"/>
      <c r="J372" s="24"/>
    </row>
    <row r="373" spans="1:10" ht="20.100000000000001" customHeight="1" thickBot="1">
      <c r="A373" s="212"/>
      <c r="B373" s="213"/>
      <c r="C373" s="214" t="s">
        <v>441</v>
      </c>
      <c r="D373" s="213"/>
      <c r="E373" s="218">
        <f>8+4</f>
        <v>12</v>
      </c>
      <c r="F373" s="216"/>
      <c r="G373" s="216"/>
      <c r="H373" s="24"/>
      <c r="I373" s="24"/>
      <c r="J373" s="24"/>
    </row>
    <row r="374" spans="1:10" ht="20.100000000000001" customHeight="1" thickBot="1">
      <c r="A374" s="46">
        <v>108</v>
      </c>
      <c r="B374" s="47">
        <v>764528422</v>
      </c>
      <c r="C374" s="48" t="s">
        <v>442</v>
      </c>
      <c r="D374" s="47" t="s">
        <v>126</v>
      </c>
      <c r="E374" s="49">
        <f>SUM(E375:E378)</f>
        <v>42.7</v>
      </c>
      <c r="F374" s="50"/>
      <c r="G374" s="51">
        <f>ROUND(E374*F374,2)</f>
        <v>0</v>
      </c>
      <c r="H374" s="24"/>
      <c r="I374" s="24"/>
      <c r="J374" s="24"/>
    </row>
    <row r="375" spans="1:10" ht="20.100000000000001" customHeight="1">
      <c r="A375" s="259"/>
      <c r="B375" s="213" t="s">
        <v>512</v>
      </c>
      <c r="C375" s="214" t="s">
        <v>443</v>
      </c>
      <c r="D375" s="260"/>
      <c r="E375" s="215">
        <f>0.5+0.5+0.3+0.2+8.9</f>
        <v>10.4</v>
      </c>
      <c r="F375" s="261"/>
      <c r="G375" s="261"/>
      <c r="H375" s="24"/>
      <c r="I375" s="24"/>
      <c r="J375" s="24"/>
    </row>
    <row r="376" spans="1:10" ht="20.100000000000001" customHeight="1">
      <c r="A376" s="259"/>
      <c r="B376" s="213"/>
      <c r="C376" s="214" t="s">
        <v>444</v>
      </c>
      <c r="D376" s="260"/>
      <c r="E376" s="215">
        <f>0.5+0.5+0.3+0.2+9.7</f>
        <v>11.2</v>
      </c>
      <c r="F376" s="261"/>
      <c r="G376" s="261"/>
      <c r="H376" s="24"/>
      <c r="I376" s="24"/>
      <c r="J376" s="24"/>
    </row>
    <row r="377" spans="1:10" ht="20.100000000000001" customHeight="1">
      <c r="A377" s="259"/>
      <c r="B377" s="213"/>
      <c r="C377" s="214" t="s">
        <v>445</v>
      </c>
      <c r="D377" s="260"/>
      <c r="E377" s="215">
        <f>0.5+0.5+0.3+0.2+8.7</f>
        <v>10.199999999999999</v>
      </c>
      <c r="F377" s="261"/>
      <c r="G377" s="261"/>
      <c r="H377" s="24"/>
      <c r="I377" s="24"/>
      <c r="J377" s="24"/>
    </row>
    <row r="378" spans="1:10" ht="20.100000000000001" customHeight="1" thickBot="1">
      <c r="A378" s="259"/>
      <c r="B378" s="213"/>
      <c r="C378" s="214" t="s">
        <v>446</v>
      </c>
      <c r="D378" s="260"/>
      <c r="E378" s="215">
        <f>0.5+0.5+0.3+0.2+9.4</f>
        <v>10.9</v>
      </c>
      <c r="F378" s="261"/>
      <c r="G378" s="261"/>
      <c r="H378" s="24"/>
      <c r="I378" s="24"/>
      <c r="J378" s="24"/>
    </row>
    <row r="379" spans="1:10" ht="20.100000000000001" customHeight="1" thickBot="1">
      <c r="A379" s="46">
        <v>109</v>
      </c>
      <c r="B379" s="47">
        <v>764528421</v>
      </c>
      <c r="C379" s="48" t="s">
        <v>447</v>
      </c>
      <c r="D379" s="47" t="s">
        <v>126</v>
      </c>
      <c r="E379" s="49">
        <f>SUM(E380:E380)</f>
        <v>9.6999999999999993</v>
      </c>
      <c r="F379" s="50"/>
      <c r="G379" s="51">
        <f>ROUND(E379*F379,2)</f>
        <v>0</v>
      </c>
      <c r="H379" s="24"/>
      <c r="I379" s="24"/>
      <c r="J379" s="24"/>
    </row>
    <row r="380" spans="1:10" ht="20.100000000000001" customHeight="1" thickBot="1">
      <c r="A380" s="259"/>
      <c r="B380" s="213" t="s">
        <v>513</v>
      </c>
      <c r="C380" s="214" t="s">
        <v>448</v>
      </c>
      <c r="D380" s="260"/>
      <c r="E380" s="215">
        <f>5.2+4.5</f>
        <v>9.6999999999999993</v>
      </c>
      <c r="F380" s="261"/>
      <c r="G380" s="261"/>
      <c r="H380" s="24"/>
      <c r="I380" s="24"/>
      <c r="J380" s="24"/>
    </row>
    <row r="381" spans="1:10" ht="20.100000000000001" customHeight="1" thickBot="1">
      <c r="A381" s="46">
        <v>110</v>
      </c>
      <c r="B381" s="47">
        <v>764764203</v>
      </c>
      <c r="C381" s="48" t="s">
        <v>516</v>
      </c>
      <c r="D381" s="47" t="s">
        <v>126</v>
      </c>
      <c r="E381" s="49">
        <f>E382</f>
        <v>8</v>
      </c>
      <c r="F381" s="50"/>
      <c r="G381" s="51">
        <f>ROUND(E381*F381,2)</f>
        <v>0</v>
      </c>
      <c r="H381" s="24"/>
      <c r="I381" s="24"/>
      <c r="J381" s="24"/>
    </row>
    <row r="382" spans="1:10" ht="20.100000000000001" customHeight="1" thickBot="1">
      <c r="A382" s="259"/>
      <c r="B382" s="213" t="s">
        <v>515</v>
      </c>
      <c r="C382" s="214" t="s">
        <v>432</v>
      </c>
      <c r="D382" s="260"/>
      <c r="E382" s="215">
        <f>7.2+0.4+0.4</f>
        <v>8</v>
      </c>
      <c r="F382" s="261"/>
      <c r="G382" s="261"/>
      <c r="H382" s="24"/>
      <c r="I382" s="24"/>
      <c r="J382" s="24"/>
    </row>
    <row r="383" spans="1:10" ht="20.100000000000001" customHeight="1" thickBot="1">
      <c r="A383" s="46">
        <v>111</v>
      </c>
      <c r="B383" s="47">
        <v>764224402</v>
      </c>
      <c r="C383" s="48" t="s">
        <v>517</v>
      </c>
      <c r="D383" s="47" t="s">
        <v>126</v>
      </c>
      <c r="E383" s="49">
        <f>SUM(E384:E386)</f>
        <v>21.470000000000002</v>
      </c>
      <c r="F383" s="50"/>
      <c r="G383" s="51">
        <f>ROUND(E383*F383,2)</f>
        <v>0</v>
      </c>
      <c r="H383" s="24"/>
      <c r="I383" s="24"/>
      <c r="J383" s="24"/>
    </row>
    <row r="384" spans="1:10" ht="20.100000000000001" customHeight="1">
      <c r="A384" s="259"/>
      <c r="B384" s="213" t="s">
        <v>518</v>
      </c>
      <c r="C384" s="214" t="s">
        <v>216</v>
      </c>
      <c r="D384" s="213"/>
      <c r="E384" s="217">
        <f>1.15+0.25*2+1.05+1.25+2.7+2.7+0.4+0.4</f>
        <v>10.150000000000002</v>
      </c>
      <c r="F384" s="261"/>
      <c r="G384" s="261"/>
      <c r="H384" s="24"/>
      <c r="I384" s="24"/>
      <c r="J384" s="24"/>
    </row>
    <row r="385" spans="1:10" ht="20.100000000000001" customHeight="1">
      <c r="A385" s="259"/>
      <c r="B385" s="213"/>
      <c r="C385" s="214" t="s">
        <v>217</v>
      </c>
      <c r="D385" s="213"/>
      <c r="E385" s="217">
        <f>2.36+1.9+2.36+1.9</f>
        <v>8.52</v>
      </c>
      <c r="F385" s="261"/>
      <c r="G385" s="261"/>
      <c r="H385" s="24"/>
      <c r="I385" s="24"/>
      <c r="J385" s="24"/>
    </row>
    <row r="386" spans="1:10" ht="20.100000000000001" customHeight="1" thickBot="1">
      <c r="A386" s="259"/>
      <c r="B386" s="213"/>
      <c r="C386" s="214" t="s">
        <v>218</v>
      </c>
      <c r="D386" s="213"/>
      <c r="E386" s="217">
        <f>2.8</f>
        <v>2.8</v>
      </c>
      <c r="F386" s="261"/>
      <c r="G386" s="261"/>
      <c r="H386" s="24"/>
      <c r="I386" s="24"/>
      <c r="J386" s="24"/>
    </row>
    <row r="387" spans="1:10" ht="20.100000000000001" customHeight="1" thickBot="1">
      <c r="A387" s="46">
        <v>112</v>
      </c>
      <c r="B387" s="67">
        <v>998764203</v>
      </c>
      <c r="C387" s="68" t="s">
        <v>449</v>
      </c>
      <c r="D387" s="69" t="s">
        <v>162</v>
      </c>
      <c r="E387" s="70">
        <v>1.61</v>
      </c>
      <c r="F387" s="71"/>
      <c r="G387" s="51">
        <f>ROUND(E387*F387*0.01,2)</f>
        <v>0</v>
      </c>
      <c r="H387" s="24"/>
      <c r="I387" s="24"/>
      <c r="J387" s="24"/>
    </row>
    <row r="388" spans="1:10" ht="20.100000000000001" customHeight="1">
      <c r="A388" s="52"/>
      <c r="B388" s="255"/>
      <c r="C388" s="256"/>
      <c r="D388" s="255"/>
      <c r="E388" s="257"/>
      <c r="F388" s="258"/>
      <c r="G388" s="55"/>
      <c r="H388" s="24"/>
      <c r="I388" s="24"/>
      <c r="J388" s="24"/>
    </row>
    <row r="389" spans="1:10" ht="20.100000000000001" customHeight="1" thickBot="1">
      <c r="A389" s="41"/>
      <c r="B389" s="42">
        <v>12</v>
      </c>
      <c r="C389" s="43" t="s">
        <v>462</v>
      </c>
      <c r="D389" s="42"/>
      <c r="E389" s="44"/>
      <c r="F389" s="45"/>
      <c r="G389" s="45">
        <f>SUM(G390:G410)</f>
        <v>0</v>
      </c>
      <c r="H389" s="24"/>
      <c r="I389" s="24"/>
      <c r="J389" s="24"/>
    </row>
    <row r="390" spans="1:10" ht="20.100000000000001" customHeight="1" thickBot="1">
      <c r="A390" s="46">
        <v>113</v>
      </c>
      <c r="B390" s="47">
        <v>765133001</v>
      </c>
      <c r="C390" s="48" t="s">
        <v>463</v>
      </c>
      <c r="D390" s="47" t="s">
        <v>108</v>
      </c>
      <c r="E390" s="49">
        <f>E71</f>
        <v>180.9</v>
      </c>
      <c r="F390" s="50"/>
      <c r="G390" s="51">
        <f>ROUND(E390*F390,2)</f>
        <v>0</v>
      </c>
      <c r="H390" s="24"/>
      <c r="I390" s="24"/>
      <c r="J390" s="24"/>
    </row>
    <row r="391" spans="1:10" ht="20.100000000000001" customHeight="1" thickBot="1">
      <c r="A391" s="259"/>
      <c r="B391" s="260"/>
      <c r="C391" s="214"/>
      <c r="D391" s="260"/>
      <c r="E391" s="215"/>
      <c r="F391" s="261"/>
      <c r="G391" s="261"/>
      <c r="H391" s="24"/>
      <c r="I391" s="24"/>
      <c r="J391" s="24"/>
    </row>
    <row r="392" spans="1:10" ht="20.100000000000001" customHeight="1" thickBot="1">
      <c r="A392" s="46">
        <v>114</v>
      </c>
      <c r="B392" s="47">
        <v>765133011</v>
      </c>
      <c r="C392" s="48" t="s">
        <v>464</v>
      </c>
      <c r="D392" s="47" t="s">
        <v>124</v>
      </c>
      <c r="E392" s="49">
        <f>E332</f>
        <v>71.100000000000009</v>
      </c>
      <c r="F392" s="50"/>
      <c r="G392" s="51">
        <f>ROUND(E392*F392,2)</f>
        <v>0</v>
      </c>
      <c r="H392" s="24"/>
      <c r="I392" s="24"/>
      <c r="J392" s="24"/>
    </row>
    <row r="393" spans="1:10" ht="20.100000000000001" customHeight="1" thickBot="1">
      <c r="A393" s="259"/>
      <c r="B393" s="260"/>
      <c r="C393" s="214"/>
      <c r="D393" s="260"/>
      <c r="E393" s="215"/>
      <c r="F393" s="261"/>
      <c r="G393" s="261"/>
      <c r="H393" s="24"/>
      <c r="I393" s="24"/>
      <c r="J393" s="24"/>
    </row>
    <row r="394" spans="1:10" ht="20.100000000000001" customHeight="1" thickBot="1">
      <c r="A394" s="46">
        <v>115</v>
      </c>
      <c r="B394" s="47">
        <v>765133021</v>
      </c>
      <c r="C394" s="48" t="s">
        <v>465</v>
      </c>
      <c r="D394" s="47" t="s">
        <v>124</v>
      </c>
      <c r="E394" s="49">
        <f>E395</f>
        <v>53.2</v>
      </c>
      <c r="F394" s="50"/>
      <c r="G394" s="51">
        <f>ROUND(E394*F394,2)</f>
        <v>0</v>
      </c>
      <c r="H394" s="24"/>
      <c r="I394" s="24"/>
      <c r="J394" s="24"/>
    </row>
    <row r="395" spans="1:10" ht="20.100000000000001" customHeight="1" thickBot="1">
      <c r="A395" s="212"/>
      <c r="B395" s="213"/>
      <c r="C395" s="214" t="s">
        <v>466</v>
      </c>
      <c r="D395" s="213"/>
      <c r="E395" s="215">
        <f>5.25+5.25+5+5+4.35+4.35+9.3+4.6+5.1+2.5+2.5</f>
        <v>53.2</v>
      </c>
      <c r="F395" s="216"/>
      <c r="G395" s="216"/>
      <c r="H395" s="24"/>
      <c r="I395" s="24"/>
      <c r="J395" s="24"/>
    </row>
    <row r="396" spans="1:10" ht="20.100000000000001" customHeight="1" thickBot="1">
      <c r="A396" s="46">
        <v>116</v>
      </c>
      <c r="B396" s="47">
        <v>765133035</v>
      </c>
      <c r="C396" s="48" t="s">
        <v>467</v>
      </c>
      <c r="D396" s="47" t="s">
        <v>124</v>
      </c>
      <c r="E396" s="49">
        <f>E397</f>
        <v>7.25</v>
      </c>
      <c r="F396" s="50"/>
      <c r="G396" s="51">
        <f>ROUND(E396*F396,2)</f>
        <v>0</v>
      </c>
      <c r="H396" s="24"/>
      <c r="I396" s="24"/>
      <c r="J396" s="24"/>
    </row>
    <row r="397" spans="1:10" ht="20.100000000000001" customHeight="1" thickBot="1">
      <c r="A397" s="52"/>
      <c r="B397" s="213"/>
      <c r="C397" s="214" t="s">
        <v>468</v>
      </c>
      <c r="D397" s="213"/>
      <c r="E397" s="218">
        <f>1.1+2.1+2.95+1.1</f>
        <v>7.25</v>
      </c>
      <c r="F397" s="216"/>
      <c r="G397" s="216"/>
      <c r="H397" s="24"/>
      <c r="I397" s="24"/>
      <c r="J397" s="24"/>
    </row>
    <row r="398" spans="1:10" ht="20.100000000000001" customHeight="1" thickBot="1">
      <c r="A398" s="46">
        <v>117</v>
      </c>
      <c r="B398" s="47">
        <v>765133041</v>
      </c>
      <c r="C398" s="48" t="s">
        <v>469</v>
      </c>
      <c r="D398" s="47" t="s">
        <v>124</v>
      </c>
      <c r="E398" s="49">
        <f>E399</f>
        <v>27.6</v>
      </c>
      <c r="F398" s="50"/>
      <c r="G398" s="51">
        <f>ROUND(E398*F398,2)</f>
        <v>0</v>
      </c>
      <c r="H398" s="24"/>
      <c r="I398" s="24"/>
      <c r="J398" s="24"/>
    </row>
    <row r="399" spans="1:10" ht="20.100000000000001" customHeight="1" thickBot="1">
      <c r="A399" s="52"/>
      <c r="B399" s="213"/>
      <c r="C399" s="214" t="s">
        <v>470</v>
      </c>
      <c r="D399" s="213"/>
      <c r="E399" s="215">
        <f>5.1+4.8+2.5+2.5+1.6+1.6+4.7+4.8</f>
        <v>27.6</v>
      </c>
      <c r="F399" s="216"/>
      <c r="G399" s="216"/>
      <c r="H399" s="24"/>
      <c r="I399" s="24"/>
      <c r="J399" s="24"/>
    </row>
    <row r="400" spans="1:10" ht="20.100000000000001" customHeight="1" thickBot="1">
      <c r="A400" s="46">
        <v>118</v>
      </c>
      <c r="B400" s="47">
        <v>765133091</v>
      </c>
      <c r="C400" s="48" t="s">
        <v>471</v>
      </c>
      <c r="D400" s="47" t="s">
        <v>124</v>
      </c>
      <c r="E400" s="49">
        <f>E390</f>
        <v>180.9</v>
      </c>
      <c r="F400" s="50"/>
      <c r="G400" s="51">
        <f>ROUND(E400*F400,2)</f>
        <v>0</v>
      </c>
      <c r="H400" s="24"/>
      <c r="I400" s="24"/>
      <c r="J400" s="24"/>
    </row>
    <row r="401" spans="1:10" ht="20.100000000000001" customHeight="1" thickBot="1">
      <c r="A401" s="52"/>
      <c r="B401" s="255"/>
      <c r="C401" s="256"/>
      <c r="D401" s="255"/>
      <c r="E401" s="257"/>
      <c r="F401" s="258"/>
      <c r="G401" s="55"/>
      <c r="H401" s="24"/>
      <c r="I401" s="24"/>
      <c r="J401" s="24"/>
    </row>
    <row r="402" spans="1:10" ht="20.100000000000001" customHeight="1" thickBot="1">
      <c r="A402" s="46">
        <v>119</v>
      </c>
      <c r="B402" s="47">
        <v>765131281</v>
      </c>
      <c r="C402" s="48" t="s">
        <v>472</v>
      </c>
      <c r="D402" s="47" t="s">
        <v>124</v>
      </c>
      <c r="E402" s="49">
        <f>E400</f>
        <v>180.9</v>
      </c>
      <c r="F402" s="50"/>
      <c r="G402" s="51">
        <f>ROUND(E402*F402,2)</f>
        <v>0</v>
      </c>
      <c r="H402" s="24"/>
      <c r="I402" s="24"/>
      <c r="J402" s="24"/>
    </row>
    <row r="403" spans="1:10" ht="20.100000000000001" customHeight="1" thickBot="1">
      <c r="A403" s="52"/>
      <c r="B403" s="53"/>
      <c r="C403" s="25"/>
      <c r="D403" s="53"/>
      <c r="E403" s="54"/>
      <c r="F403" s="55"/>
      <c r="G403" s="55"/>
      <c r="H403" s="24"/>
      <c r="I403" s="24"/>
      <c r="J403" s="24"/>
    </row>
    <row r="404" spans="1:10" ht="20.100000000000001" customHeight="1" thickBot="1">
      <c r="A404" s="46">
        <v>120</v>
      </c>
      <c r="B404" s="47">
        <v>765191023</v>
      </c>
      <c r="C404" s="48" t="s">
        <v>487</v>
      </c>
      <c r="D404" s="47" t="s">
        <v>108</v>
      </c>
      <c r="E404" s="49">
        <f>E402</f>
        <v>180.9</v>
      </c>
      <c r="F404" s="50"/>
      <c r="G404" s="51">
        <f>ROUND(E404*F404,2)</f>
        <v>0</v>
      </c>
      <c r="H404" s="24"/>
      <c r="I404" s="24"/>
      <c r="J404" s="24"/>
    </row>
    <row r="405" spans="1:10" ht="20.100000000000001" customHeight="1" thickBot="1">
      <c r="A405" s="52"/>
      <c r="B405" s="53"/>
      <c r="C405" s="25"/>
      <c r="D405" s="53"/>
      <c r="E405" s="54"/>
      <c r="F405" s="55"/>
      <c r="G405" s="55"/>
      <c r="H405" s="24"/>
      <c r="I405" s="24"/>
      <c r="J405" s="24"/>
    </row>
    <row r="406" spans="1:10" ht="20.100000000000001" customHeight="1" thickBot="1">
      <c r="A406" s="46">
        <v>121</v>
      </c>
      <c r="B406" s="47">
        <v>765191091</v>
      </c>
      <c r="C406" s="48" t="s">
        <v>488</v>
      </c>
      <c r="D406" s="47" t="s">
        <v>108</v>
      </c>
      <c r="E406" s="49">
        <f>E404</f>
        <v>180.9</v>
      </c>
      <c r="F406" s="50"/>
      <c r="G406" s="51">
        <f>ROUND(E406*F406,2)</f>
        <v>0</v>
      </c>
      <c r="H406" s="24"/>
      <c r="I406" s="24"/>
      <c r="J406" s="24"/>
    </row>
    <row r="407" spans="1:10" ht="20.100000000000001" customHeight="1" thickBot="1">
      <c r="A407" s="52"/>
      <c r="B407" s="53"/>
      <c r="C407" s="25"/>
      <c r="D407" s="53"/>
      <c r="E407" s="54"/>
      <c r="F407" s="55"/>
      <c r="G407" s="55"/>
      <c r="H407" s="24"/>
      <c r="I407" s="24"/>
      <c r="J407" s="24"/>
    </row>
    <row r="408" spans="1:10" ht="20.100000000000001" customHeight="1" thickBot="1">
      <c r="A408" s="57">
        <v>122</v>
      </c>
      <c r="B408" s="180" t="s">
        <v>133</v>
      </c>
      <c r="C408" s="59" t="s">
        <v>489</v>
      </c>
      <c r="D408" s="58" t="s">
        <v>490</v>
      </c>
      <c r="E408" s="60">
        <f>E409</f>
        <v>217</v>
      </c>
      <c r="F408" s="61"/>
      <c r="G408" s="62">
        <f>ROUND(E408*F408,2)</f>
        <v>0</v>
      </c>
      <c r="H408" s="24"/>
      <c r="I408" s="24"/>
      <c r="J408" s="24"/>
    </row>
    <row r="409" spans="1:10" ht="20.100000000000001" customHeight="1" thickBot="1">
      <c r="A409" s="212"/>
      <c r="B409" s="224"/>
      <c r="C409" s="264" t="s">
        <v>491</v>
      </c>
      <c r="D409" s="265"/>
      <c r="E409" s="265">
        <f>ROUND(180.9*1.2,0)</f>
        <v>217</v>
      </c>
      <c r="F409" s="263"/>
      <c r="G409" s="216"/>
      <c r="H409" s="24"/>
      <c r="I409" s="24"/>
      <c r="J409" s="24"/>
    </row>
    <row r="410" spans="1:10" ht="20.100000000000001" customHeight="1" thickBot="1">
      <c r="A410" s="46">
        <v>123</v>
      </c>
      <c r="B410" s="47">
        <v>998765203</v>
      </c>
      <c r="C410" s="48" t="s">
        <v>473</v>
      </c>
      <c r="D410" s="47" t="s">
        <v>162</v>
      </c>
      <c r="E410" s="49">
        <v>6.03</v>
      </c>
      <c r="F410" s="50"/>
      <c r="G410" s="51">
        <f>ROUND(E410*F410*0.01,2)</f>
        <v>0</v>
      </c>
      <c r="H410" s="24"/>
      <c r="I410" s="24"/>
      <c r="J410" s="24"/>
    </row>
    <row r="411" spans="1:10" ht="20.100000000000001" customHeight="1">
      <c r="A411" s="52"/>
      <c r="B411" s="255"/>
      <c r="C411" s="256"/>
      <c r="D411" s="255"/>
      <c r="E411" s="257"/>
      <c r="F411" s="258"/>
      <c r="G411" s="55"/>
      <c r="H411" s="24"/>
      <c r="I411" s="24"/>
      <c r="J411" s="24"/>
    </row>
    <row r="412" spans="1:10" ht="20.100000000000001" customHeight="1" thickBot="1">
      <c r="A412" s="41"/>
      <c r="B412" s="42">
        <v>13</v>
      </c>
      <c r="C412" s="43" t="s">
        <v>132</v>
      </c>
      <c r="D412" s="42"/>
      <c r="E412" s="44"/>
      <c r="F412" s="45"/>
      <c r="G412" s="45">
        <f>SUM(G413:G427)</f>
        <v>0</v>
      </c>
      <c r="H412" s="24"/>
      <c r="I412" s="24"/>
      <c r="J412" s="24"/>
    </row>
    <row r="413" spans="1:10" ht="20.100000000000001" customHeight="1" thickBot="1">
      <c r="A413" s="46">
        <v>124</v>
      </c>
      <c r="B413" s="47">
        <v>766622132</v>
      </c>
      <c r="C413" s="48" t="s">
        <v>131</v>
      </c>
      <c r="D413" s="47" t="s">
        <v>108</v>
      </c>
      <c r="E413" s="49">
        <f>E414</f>
        <v>2.4436</v>
      </c>
      <c r="F413" s="50"/>
      <c r="G413" s="51">
        <f>ROUND(E413*F413,2)</f>
        <v>0</v>
      </c>
      <c r="H413" s="24"/>
      <c r="I413" s="24"/>
      <c r="J413" s="24"/>
    </row>
    <row r="414" spans="1:10" ht="20.100000000000001" customHeight="1" thickBot="1">
      <c r="A414" s="212"/>
      <c r="B414" s="213"/>
      <c r="C414" s="214" t="s">
        <v>450</v>
      </c>
      <c r="D414" s="213"/>
      <c r="E414" s="215">
        <f>1.49*1.64</f>
        <v>2.4436</v>
      </c>
      <c r="F414" s="216"/>
      <c r="G414" s="216"/>
      <c r="H414" s="24"/>
      <c r="I414" s="24"/>
      <c r="J414" s="24"/>
    </row>
    <row r="415" spans="1:10" ht="20.100000000000001" customHeight="1" thickBot="1">
      <c r="A415" s="57">
        <v>125</v>
      </c>
      <c r="B415" s="180" t="s">
        <v>133</v>
      </c>
      <c r="C415" s="59" t="s">
        <v>451</v>
      </c>
      <c r="D415" s="58" t="s">
        <v>109</v>
      </c>
      <c r="E415" s="60">
        <v>1</v>
      </c>
      <c r="F415" s="61"/>
      <c r="G415" s="62">
        <f>ROUND(E415*F415,2)</f>
        <v>0</v>
      </c>
      <c r="H415" s="24"/>
      <c r="I415" s="24"/>
      <c r="J415" s="24"/>
    </row>
    <row r="416" spans="1:10" ht="20.100000000000001" customHeight="1" thickBot="1">
      <c r="A416" s="181"/>
      <c r="B416" s="182"/>
      <c r="C416" s="183"/>
      <c r="D416" s="184"/>
      <c r="E416" s="185"/>
      <c r="F416" s="186"/>
      <c r="G416" s="186"/>
      <c r="H416" s="24"/>
      <c r="I416" s="24"/>
      <c r="J416" s="24"/>
    </row>
    <row r="417" spans="1:10" ht="20.100000000000001" customHeight="1" thickBot="1">
      <c r="A417" s="46">
        <v>126</v>
      </c>
      <c r="B417" s="47">
        <v>766660002</v>
      </c>
      <c r="C417" s="48" t="s">
        <v>519</v>
      </c>
      <c r="D417" s="47" t="s">
        <v>111</v>
      </c>
      <c r="E417" s="49">
        <v>1</v>
      </c>
      <c r="F417" s="50"/>
      <c r="G417" s="51">
        <f>ROUND(E417*F417,2)</f>
        <v>0</v>
      </c>
      <c r="H417" s="24"/>
      <c r="I417" s="24"/>
      <c r="J417" s="24"/>
    </row>
    <row r="418" spans="1:10" ht="20.100000000000001" customHeight="1" thickBot="1">
      <c r="A418" s="52"/>
      <c r="B418" s="53"/>
      <c r="C418" s="25"/>
      <c r="D418" s="53"/>
      <c r="E418" s="54"/>
      <c r="F418" s="55"/>
      <c r="G418" s="55"/>
      <c r="H418" s="24"/>
      <c r="I418" s="24"/>
      <c r="J418" s="24"/>
    </row>
    <row r="419" spans="1:10" ht="98.25" customHeight="1" thickBot="1">
      <c r="A419" s="57">
        <v>127</v>
      </c>
      <c r="B419" s="180" t="s">
        <v>133</v>
      </c>
      <c r="C419" s="179" t="s">
        <v>520</v>
      </c>
      <c r="D419" s="58" t="s">
        <v>109</v>
      </c>
      <c r="E419" s="60">
        <v>1</v>
      </c>
      <c r="F419" s="61"/>
      <c r="G419" s="62">
        <f>ROUND(E419*F419,2)</f>
        <v>0</v>
      </c>
      <c r="H419" s="24"/>
      <c r="I419" s="24"/>
      <c r="J419" s="24"/>
    </row>
    <row r="420" spans="1:10" ht="20.100000000000001" customHeight="1" thickBot="1">
      <c r="A420" s="52"/>
      <c r="B420" s="53"/>
      <c r="C420" s="25"/>
      <c r="D420" s="53"/>
      <c r="E420" s="54"/>
      <c r="F420" s="55"/>
      <c r="G420" s="55"/>
      <c r="H420" s="24"/>
      <c r="I420" s="24"/>
      <c r="J420" s="24"/>
    </row>
    <row r="421" spans="1:10" ht="20.100000000000001" customHeight="1" thickBot="1">
      <c r="A421" s="46">
        <v>128</v>
      </c>
      <c r="B421" s="47" t="s">
        <v>123</v>
      </c>
      <c r="C421" s="48" t="s">
        <v>134</v>
      </c>
      <c r="D421" s="47" t="s">
        <v>111</v>
      </c>
      <c r="E421" s="49">
        <v>10</v>
      </c>
      <c r="F421" s="50"/>
      <c r="G421" s="51">
        <f>ROUND(E421*F421,2)</f>
        <v>0</v>
      </c>
      <c r="H421" s="24"/>
      <c r="I421" s="24"/>
      <c r="J421" s="24"/>
    </row>
    <row r="422" spans="1:10" ht="20.100000000000001" customHeight="1" thickBot="1">
      <c r="A422" s="52"/>
      <c r="B422" s="53"/>
      <c r="C422" s="25"/>
      <c r="D422" s="53"/>
      <c r="E422" s="54"/>
      <c r="F422" s="55"/>
      <c r="G422" s="55"/>
      <c r="H422" s="24"/>
      <c r="I422" s="24"/>
      <c r="J422" s="24"/>
    </row>
    <row r="423" spans="1:10" ht="34.5" customHeight="1" thickBot="1">
      <c r="A423" s="57">
        <v>129</v>
      </c>
      <c r="B423" s="180" t="s">
        <v>133</v>
      </c>
      <c r="C423" s="59" t="s">
        <v>554</v>
      </c>
      <c r="D423" s="58" t="s">
        <v>109</v>
      </c>
      <c r="E423" s="60">
        <v>20</v>
      </c>
      <c r="F423" s="61"/>
      <c r="G423" s="62">
        <f>ROUND(E423*F423,2)</f>
        <v>0</v>
      </c>
      <c r="H423" s="24"/>
      <c r="I423" s="24"/>
      <c r="J423" s="24"/>
    </row>
    <row r="424" spans="1:10" ht="20.100000000000001" customHeight="1" thickBot="1">
      <c r="A424" s="197"/>
      <c r="B424" s="198"/>
      <c r="C424" s="199"/>
      <c r="D424" s="200"/>
      <c r="E424" s="201"/>
      <c r="F424" s="202"/>
      <c r="G424" s="202"/>
      <c r="H424" s="24"/>
      <c r="I424" s="24"/>
      <c r="J424" s="24"/>
    </row>
    <row r="425" spans="1:10" ht="20.100000000000001" customHeight="1" thickBot="1">
      <c r="A425" s="57">
        <v>130</v>
      </c>
      <c r="B425" s="180" t="s">
        <v>133</v>
      </c>
      <c r="C425" s="59" t="s">
        <v>135</v>
      </c>
      <c r="D425" s="58" t="s">
        <v>109</v>
      </c>
      <c r="E425" s="60">
        <v>10</v>
      </c>
      <c r="F425" s="61"/>
      <c r="G425" s="62">
        <f>ROUND(E425*F425,2)</f>
        <v>0</v>
      </c>
      <c r="H425" s="24"/>
      <c r="I425" s="24"/>
      <c r="J425" s="24"/>
    </row>
    <row r="426" spans="1:10" ht="20.100000000000001" customHeight="1" thickBot="1">
      <c r="A426" s="181"/>
      <c r="B426" s="182"/>
      <c r="C426" s="183"/>
      <c r="D426" s="184"/>
      <c r="E426" s="185"/>
      <c r="F426" s="186"/>
      <c r="G426" s="186"/>
      <c r="H426" s="24"/>
      <c r="I426" s="24"/>
      <c r="J426" s="24"/>
    </row>
    <row r="427" spans="1:10" ht="20.100000000000001" customHeight="1" thickBot="1">
      <c r="A427" s="46">
        <v>131</v>
      </c>
      <c r="B427" s="47">
        <v>998766202</v>
      </c>
      <c r="C427" s="48" t="s">
        <v>136</v>
      </c>
      <c r="D427" s="47" t="s">
        <v>115</v>
      </c>
      <c r="E427" s="49">
        <v>1.08</v>
      </c>
      <c r="F427" s="50"/>
      <c r="G427" s="51">
        <f>ROUND(F427*E427*0.01,2)</f>
        <v>0</v>
      </c>
      <c r="H427" s="24"/>
      <c r="I427" s="24"/>
      <c r="J427" s="24"/>
    </row>
    <row r="428" spans="1:10" ht="20.100000000000001" customHeight="1">
      <c r="A428" s="52"/>
      <c r="B428" s="53"/>
      <c r="C428" s="25"/>
      <c r="D428" s="53"/>
      <c r="E428" s="54"/>
      <c r="F428" s="55"/>
      <c r="G428" s="55"/>
      <c r="H428" s="24"/>
      <c r="I428" s="24"/>
      <c r="J428" s="24"/>
    </row>
    <row r="429" spans="1:10" ht="20.100000000000001" customHeight="1" thickBot="1">
      <c r="A429" s="41"/>
      <c r="B429" s="42">
        <v>14</v>
      </c>
      <c r="C429" s="43" t="s">
        <v>154</v>
      </c>
      <c r="D429" s="42"/>
      <c r="E429" s="44"/>
      <c r="F429" s="45"/>
      <c r="G429" s="45">
        <f>SUM(G430:G442)</f>
        <v>0</v>
      </c>
      <c r="H429" s="24"/>
      <c r="I429" s="24"/>
      <c r="J429" s="24"/>
    </row>
    <row r="430" spans="1:10" ht="20.100000000000001" customHeight="1" thickBot="1">
      <c r="A430" s="46">
        <v>132</v>
      </c>
      <c r="B430" s="47">
        <v>767662120</v>
      </c>
      <c r="C430" s="48" t="s">
        <v>155</v>
      </c>
      <c r="D430" s="47" t="s">
        <v>108</v>
      </c>
      <c r="E430" s="49">
        <f>E432</f>
        <v>7.0952000000000002</v>
      </c>
      <c r="F430" s="50"/>
      <c r="G430" s="51">
        <f>ROUND(E430*F430,2)</f>
        <v>0</v>
      </c>
      <c r="H430" s="24"/>
      <c r="I430" s="24"/>
      <c r="J430" s="24"/>
    </row>
    <row r="431" spans="1:10" ht="20.100000000000001" customHeight="1" thickBot="1">
      <c r="A431" s="29"/>
      <c r="B431" s="30"/>
      <c r="C431" s="31"/>
      <c r="D431" s="30"/>
      <c r="E431" s="37"/>
      <c r="F431" s="55"/>
      <c r="G431" s="55"/>
      <c r="H431" s="24"/>
      <c r="I431" s="24"/>
      <c r="J431" s="24"/>
    </row>
    <row r="432" spans="1:10" ht="20.100000000000001" customHeight="1" thickBot="1">
      <c r="A432" s="57">
        <v>133</v>
      </c>
      <c r="B432" s="58" t="s">
        <v>130</v>
      </c>
      <c r="C432" s="59" t="s">
        <v>555</v>
      </c>
      <c r="D432" s="58" t="s">
        <v>108</v>
      </c>
      <c r="E432" s="60">
        <f>SUM(E433:E436)</f>
        <v>7.0952000000000002</v>
      </c>
      <c r="F432" s="61"/>
      <c r="G432" s="62">
        <f>ROUND(E432*F432,2)</f>
        <v>0</v>
      </c>
      <c r="H432" s="24"/>
      <c r="I432" s="24"/>
      <c r="J432" s="24"/>
    </row>
    <row r="433" spans="1:10" ht="20.100000000000001" customHeight="1">
      <c r="A433" s="262"/>
      <c r="B433" s="253" t="s">
        <v>479</v>
      </c>
      <c r="C433" s="232" t="s">
        <v>452</v>
      </c>
      <c r="D433" s="253"/>
      <c r="E433" s="238">
        <f>0.86*0.9*2</f>
        <v>1.548</v>
      </c>
      <c r="F433" s="254"/>
      <c r="G433" s="254"/>
      <c r="H433" s="24"/>
      <c r="I433" s="24"/>
      <c r="J433" s="24"/>
    </row>
    <row r="434" spans="1:10" ht="20.100000000000001" customHeight="1">
      <c r="A434" s="262"/>
      <c r="B434" s="253" t="s">
        <v>480</v>
      </c>
      <c r="C434" s="232" t="s">
        <v>453</v>
      </c>
      <c r="D434" s="253"/>
      <c r="E434" s="238">
        <f>0.86*1.28*2</f>
        <v>2.2016</v>
      </c>
      <c r="F434" s="254"/>
      <c r="G434" s="254"/>
      <c r="H434" s="24"/>
      <c r="I434" s="24"/>
      <c r="J434" s="24"/>
    </row>
    <row r="435" spans="1:10" ht="20.100000000000001" customHeight="1">
      <c r="A435" s="262"/>
      <c r="B435" s="253" t="s">
        <v>481</v>
      </c>
      <c r="C435" s="232" t="s">
        <v>454</v>
      </c>
      <c r="D435" s="253"/>
      <c r="E435" s="238">
        <f>1.39*1.04*1</f>
        <v>1.4456</v>
      </c>
      <c r="F435" s="254"/>
      <c r="G435" s="254"/>
      <c r="H435" s="24"/>
      <c r="I435" s="24"/>
      <c r="J435" s="24"/>
    </row>
    <row r="436" spans="1:10" ht="20.100000000000001" customHeight="1" thickBot="1">
      <c r="A436" s="262"/>
      <c r="B436" s="253" t="s">
        <v>482</v>
      </c>
      <c r="C436" s="232" t="s">
        <v>455</v>
      </c>
      <c r="D436" s="253"/>
      <c r="E436" s="238">
        <f>0.5*0.76*5</f>
        <v>1.9</v>
      </c>
      <c r="F436" s="254"/>
      <c r="G436" s="254"/>
      <c r="H436" s="24"/>
      <c r="I436" s="24"/>
      <c r="J436" s="24"/>
    </row>
    <row r="437" spans="1:10" ht="20.100000000000001" customHeight="1" thickBot="1">
      <c r="A437" s="46">
        <v>134</v>
      </c>
      <c r="B437" s="47" t="s">
        <v>123</v>
      </c>
      <c r="C437" s="48" t="s">
        <v>460</v>
      </c>
      <c r="D437" s="47" t="s">
        <v>108</v>
      </c>
      <c r="E437" s="49">
        <f>SUM(E438:E439)</f>
        <v>10.164000000000001</v>
      </c>
      <c r="F437" s="50"/>
      <c r="G437" s="51">
        <f>ROUND(E437*F437,2)</f>
        <v>0</v>
      </c>
      <c r="H437" s="24"/>
      <c r="I437" s="24"/>
      <c r="J437" s="24"/>
    </row>
    <row r="438" spans="1:10" ht="20.100000000000001" customHeight="1">
      <c r="A438" s="212"/>
      <c r="B438" s="213"/>
      <c r="C438" s="214" t="s">
        <v>456</v>
      </c>
      <c r="D438" s="213"/>
      <c r="E438" s="218">
        <f>4.4*1.1</f>
        <v>4.8400000000000007</v>
      </c>
      <c r="F438" s="216"/>
      <c r="G438" s="216"/>
      <c r="H438" s="24"/>
      <c r="I438" s="24"/>
      <c r="J438" s="24"/>
    </row>
    <row r="439" spans="1:10" ht="20.100000000000001" customHeight="1" thickBot="1">
      <c r="A439" s="212"/>
      <c r="B439" s="213"/>
      <c r="C439" s="214" t="s">
        <v>457</v>
      </c>
      <c r="D439" s="213"/>
      <c r="E439" s="218">
        <f>2.66*1.1+2.18*1.1</f>
        <v>5.3240000000000016</v>
      </c>
      <c r="F439" s="216"/>
      <c r="G439" s="216"/>
      <c r="H439" s="24"/>
      <c r="I439" s="24"/>
      <c r="J439" s="24"/>
    </row>
    <row r="440" spans="1:10" ht="20.100000000000001" customHeight="1" thickBot="1">
      <c r="A440" s="57">
        <v>135</v>
      </c>
      <c r="B440" s="58" t="s">
        <v>133</v>
      </c>
      <c r="C440" s="59" t="s">
        <v>458</v>
      </c>
      <c r="D440" s="58" t="s">
        <v>108</v>
      </c>
      <c r="E440" s="60">
        <f>E441</f>
        <v>7.9200000000000008</v>
      </c>
      <c r="F440" s="61"/>
      <c r="G440" s="62">
        <f>ROUND(E440*F440,2)</f>
        <v>0</v>
      </c>
      <c r="H440" s="24"/>
      <c r="I440" s="24"/>
      <c r="J440" s="24"/>
    </row>
    <row r="441" spans="1:10" ht="20.100000000000001" customHeight="1" thickBot="1">
      <c r="A441" s="52"/>
      <c r="B441" s="213"/>
      <c r="C441" s="232" t="s">
        <v>459</v>
      </c>
      <c r="D441" s="253"/>
      <c r="E441" s="238">
        <f>7.2*1.1</f>
        <v>7.9200000000000008</v>
      </c>
      <c r="F441" s="216"/>
      <c r="G441" s="55"/>
      <c r="H441" s="24"/>
      <c r="I441" s="24"/>
      <c r="J441" s="24"/>
    </row>
    <row r="442" spans="1:10" ht="20.100000000000001" customHeight="1" thickBot="1">
      <c r="A442" s="46">
        <v>136</v>
      </c>
      <c r="B442" s="47">
        <v>998767202</v>
      </c>
      <c r="C442" s="48" t="s">
        <v>163</v>
      </c>
      <c r="D442" s="47" t="s">
        <v>162</v>
      </c>
      <c r="E442" s="49">
        <v>1.79</v>
      </c>
      <c r="F442" s="50"/>
      <c r="G442" s="51">
        <f>ROUND(E442*F442*0.01,2)</f>
        <v>0</v>
      </c>
      <c r="H442" s="24"/>
      <c r="I442" s="24"/>
      <c r="J442" s="24"/>
    </row>
    <row r="443" spans="1:10" ht="20.100000000000001" customHeight="1">
      <c r="A443" s="52"/>
      <c r="B443" s="53"/>
      <c r="C443" s="25"/>
      <c r="D443" s="53"/>
      <c r="E443" s="54"/>
      <c r="F443" s="55"/>
      <c r="G443" s="55"/>
      <c r="H443" s="24"/>
      <c r="I443" s="24"/>
      <c r="J443" s="24"/>
    </row>
    <row r="444" spans="1:10" ht="20.100000000000001" customHeight="1" thickBot="1">
      <c r="A444" s="41"/>
      <c r="B444" s="42">
        <v>15</v>
      </c>
      <c r="C444" s="43" t="s">
        <v>461</v>
      </c>
      <c r="D444" s="42"/>
      <c r="E444" s="44"/>
      <c r="F444" s="45"/>
      <c r="G444" s="45">
        <f>SUM(G445:G457)</f>
        <v>0</v>
      </c>
      <c r="H444" s="24"/>
      <c r="I444" s="24"/>
      <c r="J444" s="24"/>
    </row>
    <row r="445" spans="1:10" ht="20.100000000000001" customHeight="1" thickBot="1">
      <c r="A445" s="46">
        <v>137</v>
      </c>
      <c r="B445" s="47" t="s">
        <v>150</v>
      </c>
      <c r="C445" s="48" t="s">
        <v>151</v>
      </c>
      <c r="D445" s="47" t="s">
        <v>122</v>
      </c>
      <c r="E445" s="49">
        <v>1</v>
      </c>
      <c r="F445" s="50"/>
      <c r="G445" s="51">
        <f>ROUND(E445*F445,2)</f>
        <v>0</v>
      </c>
      <c r="H445" s="24"/>
      <c r="I445" s="24"/>
      <c r="J445" s="24"/>
    </row>
    <row r="446" spans="1:10" ht="20.100000000000001" customHeight="1" thickBot="1">
      <c r="A446" s="52"/>
      <c r="B446" s="53"/>
      <c r="C446" s="25"/>
      <c r="D446" s="53"/>
      <c r="E446" s="54"/>
      <c r="F446" s="55"/>
      <c r="G446" s="55"/>
      <c r="H446" s="24"/>
      <c r="I446" s="24"/>
      <c r="J446" s="24"/>
    </row>
    <row r="447" spans="1:10" ht="20.100000000000001" customHeight="1" thickBot="1">
      <c r="A447" s="46">
        <v>138</v>
      </c>
      <c r="B447" s="47" t="s">
        <v>150</v>
      </c>
      <c r="C447" s="48" t="s">
        <v>514</v>
      </c>
      <c r="D447" s="47" t="s">
        <v>122</v>
      </c>
      <c r="E447" s="49">
        <v>1</v>
      </c>
      <c r="F447" s="50"/>
      <c r="G447" s="51">
        <f>ROUND(E447*F447,2)</f>
        <v>0</v>
      </c>
      <c r="H447" s="24"/>
      <c r="I447" s="24"/>
      <c r="J447" s="24"/>
    </row>
    <row r="448" spans="1:10" ht="20.100000000000001" customHeight="1" thickBot="1">
      <c r="A448" s="52"/>
      <c r="B448" s="53"/>
      <c r="C448" s="25"/>
      <c r="D448" s="53"/>
      <c r="E448" s="54"/>
      <c r="F448" s="55"/>
      <c r="G448" s="55"/>
      <c r="H448" s="24"/>
      <c r="I448" s="24"/>
      <c r="J448" s="24"/>
    </row>
    <row r="449" spans="1:10" ht="20.100000000000001" customHeight="1" thickBot="1">
      <c r="A449" s="46">
        <v>139</v>
      </c>
      <c r="B449" s="47">
        <v>767165111</v>
      </c>
      <c r="C449" s="48" t="s">
        <v>551</v>
      </c>
      <c r="D449" s="47" t="s">
        <v>126</v>
      </c>
      <c r="E449" s="49">
        <v>3.5</v>
      </c>
      <c r="F449" s="50"/>
      <c r="G449" s="51">
        <f>ROUND(E449*F449,2)</f>
        <v>0</v>
      </c>
      <c r="H449" s="24"/>
      <c r="I449" s="24"/>
      <c r="J449" s="24"/>
    </row>
    <row r="450" spans="1:10" ht="20.100000000000001" customHeight="1" thickBot="1">
      <c r="A450" s="52"/>
      <c r="B450" s="53"/>
      <c r="C450" s="25"/>
      <c r="D450" s="53"/>
      <c r="E450" s="54"/>
      <c r="F450" s="55"/>
      <c r="G450" s="55"/>
      <c r="H450" s="24"/>
      <c r="I450" s="24"/>
      <c r="J450" s="24"/>
    </row>
    <row r="451" spans="1:10" ht="20.100000000000001" customHeight="1" thickBot="1">
      <c r="A451" s="46">
        <v>140</v>
      </c>
      <c r="B451" s="47">
        <v>644941111</v>
      </c>
      <c r="C451" s="48" t="s">
        <v>157</v>
      </c>
      <c r="D451" s="47" t="s">
        <v>122</v>
      </c>
      <c r="E451" s="49">
        <v>1</v>
      </c>
      <c r="F451" s="50"/>
      <c r="G451" s="51">
        <f>ROUND(E451*F451,2)</f>
        <v>0</v>
      </c>
      <c r="H451" s="24"/>
      <c r="I451" s="24"/>
      <c r="J451" s="24"/>
    </row>
    <row r="452" spans="1:10" ht="20.100000000000001" customHeight="1" thickBot="1">
      <c r="A452" s="52"/>
      <c r="B452" s="53"/>
      <c r="C452" s="25"/>
      <c r="D452" s="53"/>
      <c r="E452" s="54"/>
      <c r="F452" s="55"/>
      <c r="G452" s="55"/>
      <c r="H452" s="24"/>
      <c r="I452" s="24"/>
      <c r="J452" s="24"/>
    </row>
    <row r="453" spans="1:10" ht="20.100000000000001" customHeight="1" thickBot="1">
      <c r="A453" s="46">
        <v>141</v>
      </c>
      <c r="B453" s="47">
        <v>783324101</v>
      </c>
      <c r="C453" s="48" t="s">
        <v>552</v>
      </c>
      <c r="D453" s="47" t="s">
        <v>553</v>
      </c>
      <c r="E453" s="49">
        <v>1</v>
      </c>
      <c r="F453" s="50"/>
      <c r="G453" s="51">
        <f>ROUND(E453*F453,2)</f>
        <v>0</v>
      </c>
      <c r="H453" s="24"/>
      <c r="I453" s="24"/>
      <c r="J453" s="24"/>
    </row>
    <row r="454" spans="1:10" ht="20.100000000000001" customHeight="1" thickBot="1">
      <c r="A454" s="52"/>
      <c r="B454" s="53"/>
      <c r="C454" s="25"/>
      <c r="D454" s="53"/>
      <c r="E454" s="54"/>
      <c r="F454" s="55"/>
      <c r="G454" s="55"/>
      <c r="H454" s="24"/>
      <c r="I454" s="24"/>
      <c r="J454" s="24"/>
    </row>
    <row r="455" spans="1:10" ht="84" customHeight="1" thickBot="1">
      <c r="A455" s="57">
        <v>142</v>
      </c>
      <c r="B455" s="180" t="s">
        <v>133</v>
      </c>
      <c r="C455" s="179" t="s">
        <v>158</v>
      </c>
      <c r="D455" s="58" t="s">
        <v>122</v>
      </c>
      <c r="E455" s="60">
        <v>1</v>
      </c>
      <c r="F455" s="61"/>
      <c r="G455" s="62">
        <f>ROUND(E455*F455,2)</f>
        <v>0</v>
      </c>
      <c r="H455" s="24"/>
      <c r="I455" s="24"/>
      <c r="J455" s="24"/>
    </row>
    <row r="456" spans="1:10" ht="20.100000000000001" customHeight="1" thickBot="1">
      <c r="A456" s="52"/>
      <c r="B456" s="53"/>
      <c r="C456" s="25"/>
      <c r="D456" s="53"/>
      <c r="E456" s="54"/>
      <c r="F456" s="55"/>
      <c r="G456" s="55"/>
      <c r="H456" s="24"/>
      <c r="I456" s="24"/>
      <c r="J456" s="24"/>
    </row>
    <row r="457" spans="1:10" ht="19.5" customHeight="1" thickBot="1">
      <c r="A457" s="46">
        <v>143</v>
      </c>
      <c r="B457" s="47" t="s">
        <v>123</v>
      </c>
      <c r="C457" s="48" t="s">
        <v>156</v>
      </c>
      <c r="D457" s="47" t="s">
        <v>114</v>
      </c>
      <c r="E457" s="49">
        <v>50</v>
      </c>
      <c r="F457" s="50"/>
      <c r="G457" s="51">
        <f>ROUND(E457*F457,2)</f>
        <v>0</v>
      </c>
      <c r="H457" s="24"/>
      <c r="I457" s="24"/>
      <c r="J457" s="24"/>
    </row>
    <row r="458" spans="1:10" ht="20.100000000000001" customHeight="1">
      <c r="A458" s="72"/>
      <c r="B458" s="73"/>
      <c r="C458" s="73" t="s">
        <v>1</v>
      </c>
      <c r="D458" s="73"/>
      <c r="E458" s="74"/>
      <c r="F458" s="75"/>
      <c r="G458" s="75">
        <f>G9+G106+G112+G116+G122+G289+G305+G308+G325+G389+G412+G429+G444+G282+G246</f>
        <v>0</v>
      </c>
      <c r="H458" s="24"/>
      <c r="I458" s="24"/>
      <c r="J458" s="24"/>
    </row>
    <row r="459" spans="1:10" ht="21.95" customHeight="1">
      <c r="A459" s="76"/>
      <c r="B459" s="76"/>
      <c r="C459" s="76"/>
      <c r="D459" s="76"/>
      <c r="E459" s="76"/>
      <c r="F459" s="76"/>
      <c r="G459" s="76"/>
      <c r="H459" s="26"/>
      <c r="I459" s="24"/>
      <c r="J459" s="24"/>
    </row>
    <row r="460" spans="1:10" ht="21.9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</row>
    <row r="461" spans="1:10" ht="21.9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</row>
    <row r="462" spans="1:10" ht="21.9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</row>
    <row r="463" spans="1:10" ht="19.899999999999999" customHeight="1">
      <c r="A463" s="24"/>
      <c r="B463" s="24"/>
      <c r="C463" s="24"/>
      <c r="D463" s="24"/>
      <c r="E463" s="24"/>
      <c r="F463" s="24"/>
      <c r="G463" s="24"/>
      <c r="H463" s="24"/>
    </row>
    <row r="464" spans="1:10" ht="19.899999999999999" customHeight="1">
      <c r="A464" s="24"/>
      <c r="B464" s="24"/>
      <c r="C464" s="24"/>
      <c r="D464" s="24"/>
      <c r="E464" s="24"/>
      <c r="F464" s="24"/>
      <c r="G464" s="24"/>
      <c r="H464" s="24"/>
    </row>
    <row r="465" spans="1:8" ht="19.899999999999999" customHeight="1">
      <c r="A465" s="24"/>
      <c r="B465" s="24"/>
      <c r="C465" s="24"/>
      <c r="D465" s="24"/>
      <c r="E465" s="24"/>
      <c r="F465" s="24"/>
      <c r="G465" s="24"/>
      <c r="H465" s="24"/>
    </row>
    <row r="466" spans="1:8" ht="12.95" customHeight="1"/>
    <row r="467" spans="1:8" ht="12.95" customHeight="1"/>
    <row r="468" spans="1:8" ht="12.95" customHeight="1"/>
    <row r="469" spans="1:8" ht="12.95" customHeight="1"/>
    <row r="470" spans="1:8" ht="12.95" customHeight="1"/>
    <row r="471" spans="1:8" ht="12.95" customHeight="1"/>
    <row r="472" spans="1:8" ht="15" customHeight="1"/>
    <row r="473" spans="1:8" ht="15" customHeight="1"/>
    <row r="474" spans="1:8" ht="15" customHeight="1"/>
    <row r="475" spans="1:8" ht="15" customHeight="1"/>
    <row r="476" spans="1:8" ht="12" customHeight="1"/>
    <row r="477" spans="1:8" ht="12" customHeight="1"/>
    <row r="478" spans="1:8" ht="21.6" customHeight="1"/>
    <row r="479" spans="1:8" ht="21.6" customHeight="1"/>
    <row r="480" spans="1:8" ht="12" customHeight="1"/>
    <row r="481" ht="21.6" customHeight="1"/>
    <row r="482" ht="13.15" customHeight="1"/>
    <row r="483" ht="21.6" customHeight="1"/>
    <row r="484" ht="21" customHeight="1"/>
  </sheetData>
  <mergeCells count="1">
    <mergeCell ref="A5:C5"/>
  </mergeCells>
  <pageMargins left="0.31496062992125984" right="0.31496062992125984" top="0.74803149606299213" bottom="0.74803149606299213" header="0.31496062992125984" footer="0.31496062992125984"/>
  <pageSetup fitToHeight="100" orientation="landscape" horizontalDpi="300" verticalDpi="300" r:id="rId1"/>
  <headerFooter alignWithMargins="0">
    <oddHeader xml:space="preserve">&amp;COprava fasády a výměna střešní krytiny objektu "P" Nemocnice Děčín </oddHeader>
    <oddFooter>Stránka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30068-6CE8-4167-B217-4B381EEAD386}">
  <dimension ref="A1:J12"/>
  <sheetViews>
    <sheetView showGridLines="0" zoomScale="150" zoomScaleNormal="150" workbookViewId="0">
      <selection activeCell="A7" sqref="A7"/>
    </sheetView>
  </sheetViews>
  <sheetFormatPr defaultColWidth="11.42578125" defaultRowHeight="9.6" customHeight="1"/>
  <cols>
    <col min="1" max="1" width="4.7109375" style="1" customWidth="1"/>
    <col min="2" max="2" width="16.5703125" style="1" customWidth="1"/>
    <col min="3" max="3" width="70.85546875" style="1" customWidth="1"/>
    <col min="4" max="4" width="4.7109375" style="1" customWidth="1"/>
    <col min="5" max="5" width="11.7109375" style="1" customWidth="1"/>
    <col min="6" max="6" width="10.85546875" style="1" customWidth="1"/>
    <col min="7" max="7" width="12.7109375" style="1" customWidth="1"/>
    <col min="8" max="8" width="11.28515625" style="1" customWidth="1"/>
    <col min="9" max="9" width="15.5703125" style="1" customWidth="1"/>
    <col min="10" max="10" width="42.85546875" style="1" customWidth="1"/>
    <col min="11" max="16384" width="11.42578125" style="1"/>
  </cols>
  <sheetData>
    <row r="1" spans="1:10" ht="15" customHeight="1">
      <c r="A1" s="207" t="s">
        <v>13</v>
      </c>
      <c r="B1" s="88"/>
      <c r="C1" s="88"/>
      <c r="D1" s="88"/>
      <c r="E1" s="88"/>
      <c r="F1" s="88"/>
      <c r="G1" s="88"/>
    </row>
    <row r="2" spans="1:10" ht="21.95" customHeight="1">
      <c r="A2" s="208" t="s">
        <v>178</v>
      </c>
      <c r="B2" s="209"/>
      <c r="C2" s="209"/>
      <c r="D2" s="209"/>
      <c r="E2" s="209"/>
      <c r="F2" s="209"/>
      <c r="G2" s="209"/>
      <c r="H2" s="24"/>
      <c r="I2" s="24"/>
      <c r="J2" s="24"/>
    </row>
    <row r="3" spans="1:10" ht="21.95" customHeight="1">
      <c r="A3" s="208" t="s">
        <v>113</v>
      </c>
      <c r="B3" s="209"/>
      <c r="C3" s="209"/>
      <c r="D3" s="209"/>
      <c r="E3" s="209" t="s">
        <v>12</v>
      </c>
      <c r="F3" s="209"/>
      <c r="G3" s="209"/>
      <c r="H3" s="24"/>
      <c r="I3" s="24"/>
      <c r="J3" s="24"/>
    </row>
    <row r="4" spans="1:10" ht="21.95" customHeight="1">
      <c r="A4" s="208" t="s">
        <v>11</v>
      </c>
      <c r="B4" s="209"/>
      <c r="C4" s="209"/>
      <c r="D4" s="209"/>
      <c r="E4" s="209" t="s">
        <v>10</v>
      </c>
      <c r="F4" s="209"/>
      <c r="G4" s="209"/>
      <c r="H4" s="24"/>
      <c r="I4" s="24"/>
      <c r="J4" s="24"/>
    </row>
    <row r="5" spans="1:10" ht="21.95" customHeight="1">
      <c r="A5" s="276" t="s">
        <v>173</v>
      </c>
      <c r="B5" s="277"/>
      <c r="C5" s="277"/>
      <c r="D5" s="209"/>
      <c r="E5" s="209" t="s">
        <v>9</v>
      </c>
      <c r="F5" s="209"/>
      <c r="G5" s="209"/>
      <c r="H5" s="24"/>
      <c r="I5" s="24"/>
      <c r="J5" s="24"/>
    </row>
    <row r="6" spans="1:10" ht="21.95" customHeight="1" thickBot="1">
      <c r="A6" s="209" t="s">
        <v>559</v>
      </c>
      <c r="B6" s="209"/>
      <c r="C6" s="209"/>
      <c r="D6" s="209"/>
      <c r="E6" s="209" t="s">
        <v>558</v>
      </c>
      <c r="F6" s="209"/>
      <c r="G6" s="209"/>
      <c r="H6" s="24"/>
      <c r="I6" s="24"/>
      <c r="J6" s="24"/>
    </row>
    <row r="7" spans="1:10" ht="26.25" customHeight="1" thickBot="1">
      <c r="A7" s="210" t="s">
        <v>8</v>
      </c>
      <c r="B7" s="210" t="s">
        <v>7</v>
      </c>
      <c r="C7" s="210" t="s">
        <v>6</v>
      </c>
      <c r="D7" s="210" t="s">
        <v>5</v>
      </c>
      <c r="E7" s="210" t="s">
        <v>4</v>
      </c>
      <c r="F7" s="210"/>
      <c r="G7" s="210" t="s">
        <v>3</v>
      </c>
      <c r="H7" s="24"/>
      <c r="I7" s="24"/>
      <c r="J7" s="24"/>
    </row>
    <row r="8" spans="1:10" ht="21.95" customHeight="1" thickBot="1">
      <c r="A8" s="210" t="s">
        <v>2</v>
      </c>
      <c r="B8" s="210">
        <v>2</v>
      </c>
      <c r="C8" s="210">
        <v>3</v>
      </c>
      <c r="D8" s="210">
        <v>4</v>
      </c>
      <c r="E8" s="210">
        <v>5</v>
      </c>
      <c r="F8" s="210"/>
      <c r="G8" s="210">
        <v>7</v>
      </c>
      <c r="H8" s="24"/>
      <c r="I8" s="24"/>
      <c r="J8" s="24"/>
    </row>
    <row r="9" spans="1:10" ht="20.100000000000001" customHeight="1">
      <c r="A9" s="41"/>
      <c r="B9" s="42">
        <v>1</v>
      </c>
      <c r="C9" s="43" t="s">
        <v>164</v>
      </c>
      <c r="D9" s="43"/>
      <c r="E9" s="44"/>
      <c r="F9" s="45"/>
      <c r="G9" s="45">
        <f>SUM(G10:G12)</f>
        <v>0</v>
      </c>
      <c r="H9" s="24"/>
      <c r="I9" s="24"/>
      <c r="J9" s="24"/>
    </row>
    <row r="10" spans="1:10" ht="20.100000000000001" customHeight="1">
      <c r="A10" s="24"/>
      <c r="B10" s="203" t="s">
        <v>165</v>
      </c>
      <c r="C10" s="24" t="s">
        <v>166</v>
      </c>
      <c r="D10" s="24"/>
      <c r="E10" s="24"/>
      <c r="F10" s="24"/>
      <c r="G10" s="204"/>
    </row>
    <row r="11" spans="1:10" ht="20.100000000000001" customHeight="1">
      <c r="A11" s="24"/>
      <c r="B11" s="203" t="s">
        <v>167</v>
      </c>
      <c r="C11" s="24" t="s">
        <v>168</v>
      </c>
      <c r="D11" s="24"/>
      <c r="E11" s="24"/>
      <c r="F11" s="24"/>
      <c r="G11" s="204"/>
    </row>
    <row r="12" spans="1:10" ht="20.100000000000001" customHeight="1">
      <c r="A12" s="24"/>
      <c r="B12" s="203" t="s">
        <v>169</v>
      </c>
      <c r="C12" s="24" t="s">
        <v>170</v>
      </c>
      <c r="D12" s="24"/>
      <c r="E12" s="24"/>
      <c r="F12" s="24"/>
      <c r="G12" s="204"/>
    </row>
  </sheetData>
  <mergeCells count="1">
    <mergeCell ref="A5:C5"/>
  </mergeCells>
  <pageMargins left="0.31496062992125984" right="0.31496062992125984" top="0.74803149606299213" bottom="0.74803149606299213" header="0.31496062992125984" footer="0.31496062992125984"/>
  <pageSetup fitToHeight="100" orientation="landscape" horizontalDpi="300" verticalDpi="300" r:id="rId1"/>
  <headerFooter alignWithMargins="0">
    <oddHeader xml:space="preserve">&amp;COprava fasády a výměna střešní krytiny objektu "P" Nemocnice Děčín 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rekapitulace </vt:lpstr>
      <vt:lpstr>položkový rozpočet</vt:lpstr>
      <vt:lpstr>VRN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Danča</dc:creator>
  <cp:lastModifiedBy>Daniela Bičišťová</cp:lastModifiedBy>
  <cp:lastPrinted>2023-12-19T12:06:52Z</cp:lastPrinted>
  <dcterms:created xsi:type="dcterms:W3CDTF">2005-01-20T19:59:56Z</dcterms:created>
  <dcterms:modified xsi:type="dcterms:W3CDTF">2024-07-30T05:20:35Z</dcterms:modified>
</cp:coreProperties>
</file>