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<sst xmlns="http://schemas.openxmlformats.org/spreadsheetml/2006/main" count="1051" uniqueCount="357">
  <si>
    <t>Doba výstavby:</t>
  </si>
  <si>
    <t>Klozet kombi LYRA Plus, nádrž s armat.</t>
  </si>
  <si>
    <t>Projektant</t>
  </si>
  <si>
    <t>722280106R00</t>
  </si>
  <si>
    <t>725825111RT1</t>
  </si>
  <si>
    <t>725820801R00</t>
  </si>
  <si>
    <t>Základ 21%</t>
  </si>
  <si>
    <t>20</t>
  </si>
  <si>
    <t>Dodávka</t>
  </si>
  <si>
    <t>NUS celkem z obj.</t>
  </si>
  <si>
    <t>642942111RT4</t>
  </si>
  <si>
    <t>3_</t>
  </si>
  <si>
    <t>767581802R00</t>
  </si>
  <si>
    <t>Baterie sprchová nástěnná ruční, s příslušenstvím (tyč)</t>
  </si>
  <si>
    <t>711</t>
  </si>
  <si>
    <t>72_</t>
  </si>
  <si>
    <t>Název stavby:</t>
  </si>
  <si>
    <t>Ostatní materiál</t>
  </si>
  <si>
    <t>48</t>
  </si>
  <si>
    <t>29</t>
  </si>
  <si>
    <t>Č</t>
  </si>
  <si>
    <t>Různé dokončovací práce</t>
  </si>
  <si>
    <t>Poznámka:</t>
  </si>
  <si>
    <t>Lokalita:</t>
  </si>
  <si>
    <t>Revizní dvířka Promat pro stěny a podhledy, 500x500 mm Al 60</t>
  </si>
  <si>
    <t>16</t>
  </si>
  <si>
    <t>PSV</t>
  </si>
  <si>
    <t>24</t>
  </si>
  <si>
    <t>784157102R00</t>
  </si>
  <si>
    <t>Bez pevné podl.</t>
  </si>
  <si>
    <t>Celkem</t>
  </si>
  <si>
    <t>Zařízení staveniště</t>
  </si>
  <si>
    <t>4</t>
  </si>
  <si>
    <t>94</t>
  </si>
  <si>
    <t>60</t>
  </si>
  <si>
    <t>Základní rozpočtové náklady</t>
  </si>
  <si>
    <t>26</t>
  </si>
  <si>
    <t>6_</t>
  </si>
  <si>
    <t>612425931RT2</t>
  </si>
  <si>
    <t>725013163R00</t>
  </si>
  <si>
    <t>Celkem bez DPH</t>
  </si>
  <si>
    <t>771101310R00</t>
  </si>
  <si>
    <t>721_</t>
  </si>
  <si>
    <t>Hmotnost (t)</t>
  </si>
  <si>
    <t>6</t>
  </si>
  <si>
    <t>Rozpočtové náklady v Kč</t>
  </si>
  <si>
    <t>711212005RT4</t>
  </si>
  <si>
    <t>B</t>
  </si>
  <si>
    <t>Náklady na umístění stavby (NUS)</t>
  </si>
  <si>
    <t>42</t>
  </si>
  <si>
    <t>D + M odpadního potrubí</t>
  </si>
  <si>
    <t>Montáž</t>
  </si>
  <si>
    <t>Demontáž podhledů - lamel plechových</t>
  </si>
  <si>
    <t>Datum, razítko a podpis</t>
  </si>
  <si>
    <t>ZRN celkem</t>
  </si>
  <si>
    <t>968072455R00</t>
  </si>
  <si>
    <t>Demontáž umyvadel bez výtokových armatur</t>
  </si>
  <si>
    <t>725860109R00</t>
  </si>
  <si>
    <t>771990010RA0</t>
  </si>
  <si>
    <t>Podhled minerální Armstrong, kazety 600x600</t>
  </si>
  <si>
    <t>33</t>
  </si>
  <si>
    <t>63</t>
  </si>
  <si>
    <t>783_</t>
  </si>
  <si>
    <t>Stěny a příčky</t>
  </si>
  <si>
    <t>Demontáž klozetů splachovacích</t>
  </si>
  <si>
    <t>77_</t>
  </si>
  <si>
    <t>Tlaková zkouška vodovodního potrubí</t>
  </si>
  <si>
    <t>25</t>
  </si>
  <si>
    <t>kus</t>
  </si>
  <si>
    <t>Dodávky</t>
  </si>
  <si>
    <t>soustava</t>
  </si>
  <si>
    <t>Otvor v obkladačce diamant.korunkou prům.do 90 mm</t>
  </si>
  <si>
    <t>Ostatní mat.</t>
  </si>
  <si>
    <t>784191201R00</t>
  </si>
  <si>
    <t>Cenová</t>
  </si>
  <si>
    <t>Kladení dlažby keramické do flexibilního lepidla, 25 - 35ks/m2</t>
  </si>
  <si>
    <t>781111115R00</t>
  </si>
  <si>
    <t>Tmelení spár a rohů š. do 3mm akrylátovým tmelem v místnostech do 3,80m</t>
  </si>
  <si>
    <t>Penetrační nátěr na stěnu</t>
  </si>
  <si>
    <t>HSV prac</t>
  </si>
  <si>
    <t>90_</t>
  </si>
  <si>
    <t>767_</t>
  </si>
  <si>
    <t>13</t>
  </si>
  <si>
    <t>725017161R00</t>
  </si>
  <si>
    <t>"M"</t>
  </si>
  <si>
    <t>Konstrukce doplňkové stavební (zámečnické)</t>
  </si>
  <si>
    <t>Vodovod, potrubí PPR - typ 3 Daplen PN 20, D 25mm</t>
  </si>
  <si>
    <t>Krycí list rozpočtu</t>
  </si>
  <si>
    <t>Vyčištění budov o výšce podlaží do 4 m</t>
  </si>
  <si>
    <t>Cena/MJ</t>
  </si>
  <si>
    <t>Konec výstavby:</t>
  </si>
  <si>
    <t>622481113R00</t>
  </si>
  <si>
    <t>Hodinové zúčtovací sazby (HZS)</t>
  </si>
  <si>
    <t>Zazdění otvoru po vybourání zárubní 900x1970x125mm</t>
  </si>
  <si>
    <t>Kód</t>
  </si>
  <si>
    <t>S</t>
  </si>
  <si>
    <t>Jednot.</t>
  </si>
  <si>
    <t>43</t>
  </si>
  <si>
    <t>612471411R00</t>
  </si>
  <si>
    <t>soubor</t>
  </si>
  <si>
    <t>MJ</t>
  </si>
  <si>
    <t>783801812R00</t>
  </si>
  <si>
    <t>45</t>
  </si>
  <si>
    <t>40</t>
  </si>
  <si>
    <t>Izolace proti vode a vlhkosti, hydroizolační povlak - stěrka včetně penetrace, sprch. kout</t>
  </si>
  <si>
    <t>979081121RT2</t>
  </si>
  <si>
    <t>9_</t>
  </si>
  <si>
    <t>Doplňkové náklady</t>
  </si>
  <si>
    <t>978059521R00</t>
  </si>
  <si>
    <t>PSV prac</t>
  </si>
  <si>
    <t>HSV</t>
  </si>
  <si>
    <t>781101210RT4</t>
  </si>
  <si>
    <t>9</t>
  </si>
  <si>
    <t>Potažení vnějších stěn sklotex. pletivem vtlačených do tenkovrstvé hmoty</t>
  </si>
  <si>
    <t>771212112R00</t>
  </si>
  <si>
    <t>Nemocnice Most ORL 7. patro II. etapa</t>
  </si>
  <si>
    <t>15</t>
  </si>
  <si>
    <t>978059531R00</t>
  </si>
  <si>
    <t>95</t>
  </si>
  <si>
    <t>Otvor v obkladačce diamant.korunkou prům.do 30 mm</t>
  </si>
  <si>
    <t>ISWORK</t>
  </si>
  <si>
    <t>Celkem včetně DPH</t>
  </si>
  <si>
    <t>Základ 0%</t>
  </si>
  <si>
    <t>S_</t>
  </si>
  <si>
    <t>721176103R00</t>
  </si>
  <si>
    <t>52</t>
  </si>
  <si>
    <t>783225900R00</t>
  </si>
  <si>
    <t>Nátěr kovových doplňkových konstrukcí syntetický - základní</t>
  </si>
  <si>
    <t>597103030RA0</t>
  </si>
  <si>
    <t>51</t>
  </si>
  <si>
    <t>767896920R00</t>
  </si>
  <si>
    <t>Přesuny sutí</t>
  </si>
  <si>
    <t>Mont prac</t>
  </si>
  <si>
    <t>783220010RAA</t>
  </si>
  <si>
    <t>Obklady (keramické)</t>
  </si>
  <si>
    <t>44</t>
  </si>
  <si>
    <t>Příplatek k odvozu za každý další 1 km</t>
  </si>
  <si>
    <t>78_</t>
  </si>
  <si>
    <t>Omítka vápenocementová vnitřního ostění - štuková</t>
  </si>
  <si>
    <t>h</t>
  </si>
  <si>
    <t>Umyvadlo na šrouby LYRA Plus , 50 x 41 cm, bílé</t>
  </si>
  <si>
    <t>23</t>
  </si>
  <si>
    <t>725_</t>
  </si>
  <si>
    <t>781_</t>
  </si>
  <si>
    <t>Osazení zárubní dveřníchprotipožárních  ocelových, pl. do 2,5 m2, 800x1970x125mm</t>
  </si>
  <si>
    <t>767</t>
  </si>
  <si>
    <t>Odmaštění a odstranění nátěrů z kovových konstr. (zárubeň 3x)</t>
  </si>
  <si>
    <t>59</t>
  </si>
  <si>
    <t>t</t>
  </si>
  <si>
    <t>612409991RT2</t>
  </si>
  <si>
    <t> </t>
  </si>
  <si>
    <t>53</t>
  </si>
  <si>
    <t>Úprava vnitřních stěn vápenným štukem tl. do 3mm</t>
  </si>
  <si>
    <t>722300011RA0</t>
  </si>
  <si>
    <t>767586204RV3</t>
  </si>
  <si>
    <t>JKSO:</t>
  </si>
  <si>
    <t>64</t>
  </si>
  <si>
    <t>Poplatek za uložení suti - směs betonu, cihel, skupina odpadu 170904</t>
  </si>
  <si>
    <t>Ventil rohový G 1/2 - 3/8</t>
  </si>
  <si>
    <t>Vyrovnání podlahy stěrkou tloušťky do 3mm</t>
  </si>
  <si>
    <t>784011111R00</t>
  </si>
  <si>
    <t>DN celkem</t>
  </si>
  <si>
    <t>GROUPCODE</t>
  </si>
  <si>
    <t>Provozní vlivy</t>
  </si>
  <si>
    <t>5</t>
  </si>
  <si>
    <t>76_</t>
  </si>
  <si>
    <t>725210821R00</t>
  </si>
  <si>
    <t>Stavební rozpočet</t>
  </si>
  <si>
    <t>Druh stavby:</t>
  </si>
  <si>
    <t>Začištění omítek po vybourání zárubní</t>
  </si>
  <si>
    <t>784</t>
  </si>
  <si>
    <t>96</t>
  </si>
  <si>
    <t>Vybourání kovových dveřních zárubní pl. do 2 m2</t>
  </si>
  <si>
    <t>Zpracováno dne:</t>
  </si>
  <si>
    <t>Vybourání keramické dlažby¨přes 1m2</t>
  </si>
  <si>
    <t>968072456R00</t>
  </si>
  <si>
    <t>783</t>
  </si>
  <si>
    <t>10</t>
  </si>
  <si>
    <t>342264515RT4</t>
  </si>
  <si>
    <t>58</t>
  </si>
  <si>
    <t>36</t>
  </si>
  <si>
    <t>14</t>
  </si>
  <si>
    <t>31</t>
  </si>
  <si>
    <t>Zařizovací předměty</t>
  </si>
  <si>
    <t>Malba Primalex Plus, bílá, bez penetrace, 2 x</t>
  </si>
  <si>
    <t>Množství</t>
  </si>
  <si>
    <t>38</t>
  </si>
  <si>
    <t>Budovy občanské výstavby</t>
  </si>
  <si>
    <t>95_</t>
  </si>
  <si>
    <t>979990107R00</t>
  </si>
  <si>
    <t>Vnitřní vodovod</t>
  </si>
  <si>
    <t>Typ skupiny</t>
  </si>
  <si>
    <t>Omítky vnitřní</t>
  </si>
  <si>
    <t>Oprášení/ometení podkladu</t>
  </si>
  <si>
    <t>Přesun hmot pro budovy zděné výšky do 36 m s omezením mechanizace</t>
  </si>
  <si>
    <t>61_</t>
  </si>
  <si>
    <t>Odstranění malby oškrábáním v místnosti H do 3,8 m</t>
  </si>
  <si>
    <t>56</t>
  </si>
  <si>
    <t>Hzs-nezměřitelne stavebni prace, výpomoce</t>
  </si>
  <si>
    <t>722_</t>
  </si>
  <si>
    <t>19</t>
  </si>
  <si>
    <t>C</t>
  </si>
  <si>
    <t>Náklady (Kč)</t>
  </si>
  <si>
    <t>721</t>
  </si>
  <si>
    <t>39</t>
  </si>
  <si>
    <t>30</t>
  </si>
  <si>
    <t>IČO/DIČ:</t>
  </si>
  <si>
    <t>H01</t>
  </si>
  <si>
    <t>Ostatní</t>
  </si>
  <si>
    <t>Nátěr syntetický kovových konstr. 1x email</t>
  </si>
  <si>
    <t>55</t>
  </si>
  <si>
    <t>Zpracoval:</t>
  </si>
  <si>
    <t>Odstranění nátěrů latexových z omítek stěn, oškrabáním</t>
  </si>
  <si>
    <t>Osazení zárubní dveřních protipožárních ocelových, pl. do 2,5 m2, 1100x1970x125mm</t>
  </si>
  <si>
    <t>Vyčištění vnitřních ploch stěn po provedení obkladu chem. prostředky</t>
  </si>
  <si>
    <t>64_</t>
  </si>
  <si>
    <t>Zhotovitel</t>
  </si>
  <si>
    <t>610991111R00</t>
  </si>
  <si>
    <t>2</t>
  </si>
  <si>
    <t>Projektant:</t>
  </si>
  <si>
    <t>ORN celkem</t>
  </si>
  <si>
    <t/>
  </si>
  <si>
    <t>968061126R00</t>
  </si>
  <si>
    <t>17</t>
  </si>
  <si>
    <t>Lešení a stavební výtahy</t>
  </si>
  <si>
    <t>21</t>
  </si>
  <si>
    <t>34_</t>
  </si>
  <si>
    <t>642942111RU2</t>
  </si>
  <si>
    <t>979081111R00</t>
  </si>
  <si>
    <t>Úprava povrchů vnitřní</t>
  </si>
  <si>
    <t>Práce přesčas</t>
  </si>
  <si>
    <t>Výplň prahů zárubní  betonem C20/25</t>
  </si>
  <si>
    <t>61</t>
  </si>
  <si>
    <t>12</t>
  </si>
  <si>
    <t>Kulturní památka</t>
  </si>
  <si>
    <t>Objekt</t>
  </si>
  <si>
    <t>Vyrovnání stěny stěrkou tl. 3mm</t>
  </si>
  <si>
    <t>Bourání konstrukcí</t>
  </si>
  <si>
    <t>DPH 21%</t>
  </si>
  <si>
    <t>968061125R00</t>
  </si>
  <si>
    <t>998011004R00</t>
  </si>
  <si>
    <t>_</t>
  </si>
  <si>
    <t>ORN celkem z obj.</t>
  </si>
  <si>
    <t>Penetrace hloubková stropů</t>
  </si>
  <si>
    <t>317318111R00</t>
  </si>
  <si>
    <t>Demontáž baterie nástěnné</t>
  </si>
  <si>
    <t>49</t>
  </si>
  <si>
    <t>Příplatek k vyrovnání stěny stěrkou za každý 1mm</t>
  </si>
  <si>
    <t>Přesuny</t>
  </si>
  <si>
    <t>MAT</t>
  </si>
  <si>
    <t>909      R00</t>
  </si>
  <si>
    <t>8</t>
  </si>
  <si>
    <t>Mimostav. doprava</t>
  </si>
  <si>
    <t>Nátěry</t>
  </si>
  <si>
    <t>18</t>
  </si>
  <si>
    <t>DN celkem z obj.</t>
  </si>
  <si>
    <t>783201831R00</t>
  </si>
  <si>
    <t>Lešení lehké pomocné, výška podlahy do 1,9 m</t>
  </si>
  <si>
    <t>46</t>
  </si>
  <si>
    <t>781</t>
  </si>
  <si>
    <t>Osazení zárubní dveřních ocelových protipožárních, pl. do 2,5 m2, 600x1970x125mm</t>
  </si>
  <si>
    <t>71_</t>
  </si>
  <si>
    <t>50</t>
  </si>
  <si>
    <t>m</t>
  </si>
  <si>
    <t>Odsekání vnitřních obkladů stěn do 2 m2</t>
  </si>
  <si>
    <t>11</t>
  </si>
  <si>
    <t>32</t>
  </si>
  <si>
    <t>Objednatel:</t>
  </si>
  <si>
    <t>Uzávěrka zápachová umyvadlová T 1016,D 40</t>
  </si>
  <si>
    <t>Vyvěšení dřevěných dveřních křídel pl. nad 2 m2</t>
  </si>
  <si>
    <t>PSV mat</t>
  </si>
  <si>
    <t>Vybourání kovových dveřních zárubní pl. nad 2 m2</t>
  </si>
  <si>
    <t>777561020R00</t>
  </si>
  <si>
    <t>3</t>
  </si>
  <si>
    <t>711_</t>
  </si>
  <si>
    <t>Zakrývání výplní vnitřních otvorů a radiátorů</t>
  </si>
  <si>
    <t>Zhotovitel:</t>
  </si>
  <si>
    <t>722130801R00</t>
  </si>
  <si>
    <t>Podlahy z dlaždic</t>
  </si>
  <si>
    <t>96_</t>
  </si>
  <si>
    <t>952901111R00</t>
  </si>
  <si>
    <t>784_</t>
  </si>
  <si>
    <t>35</t>
  </si>
  <si>
    <t>Začátek výstavby:</t>
  </si>
  <si>
    <t>781111116R00</t>
  </si>
  <si>
    <t>900      RT3</t>
  </si>
  <si>
    <t>781415014RU1</t>
  </si>
  <si>
    <t>781415016RU2</t>
  </si>
  <si>
    <t>A</t>
  </si>
  <si>
    <t>642942111RU6</t>
  </si>
  <si>
    <t>Mont mat</t>
  </si>
  <si>
    <t>722</t>
  </si>
  <si>
    <t>Penetrace vnitřních stěn ručně</t>
  </si>
  <si>
    <t>54</t>
  </si>
  <si>
    <t xml:space="preserve"> </t>
  </si>
  <si>
    <t>Odvoz suti a vybour. hmot na skládku do 1 km, složení</t>
  </si>
  <si>
    <t>Objednatel</t>
  </si>
  <si>
    <t>57</t>
  </si>
  <si>
    <t>(Kč)</t>
  </si>
  <si>
    <t>642202011RAA</t>
  </si>
  <si>
    <t>22</t>
  </si>
  <si>
    <t>Územní vlivy</t>
  </si>
  <si>
    <t>Vyvěšení dřevěných dveřních křídel pl. do 2 m2</t>
  </si>
  <si>
    <t>Montáž obkladů stěn do tmele,přes 25 do 35ks/m2</t>
  </si>
  <si>
    <t>725</t>
  </si>
  <si>
    <t>Datum:</t>
  </si>
  <si>
    <t>27</t>
  </si>
  <si>
    <t>Most</t>
  </si>
  <si>
    <t>37</t>
  </si>
  <si>
    <t>m2</t>
  </si>
  <si>
    <t>41</t>
  </si>
  <si>
    <t>Přesun hmot a sutí</t>
  </si>
  <si>
    <t>NUS z rozpočtu</t>
  </si>
  <si>
    <t>1</t>
  </si>
  <si>
    <t>784157103R00</t>
  </si>
  <si>
    <t>784402801R00</t>
  </si>
  <si>
    <t>7</t>
  </si>
  <si>
    <t>Rozměry</t>
  </si>
  <si>
    <t>Položek:</t>
  </si>
  <si>
    <t>Baterie umyvadlová nástěnná ruční</t>
  </si>
  <si>
    <t>NUS celkem</t>
  </si>
  <si>
    <t>WORK</t>
  </si>
  <si>
    <t>Montáž obkladů stěn, porovin.,tmel, nad 20x25 cm</t>
  </si>
  <si>
    <t>H01_</t>
  </si>
  <si>
    <t>771_</t>
  </si>
  <si>
    <t>Výplně otvorů</t>
  </si>
  <si>
    <t>941955002R00</t>
  </si>
  <si>
    <t>47</t>
  </si>
  <si>
    <t>HSV mat</t>
  </si>
  <si>
    <t>Demontáž potrubí Pz,do DN 25 mm TUV a SV</t>
  </si>
  <si>
    <t>Penetrace podkladu hloubková Primalex 1x,stěny</t>
  </si>
  <si>
    <t>725110811R00</t>
  </si>
  <si>
    <t>Rekonstrukce sociálního zařízení, výměna zárubní</t>
  </si>
  <si>
    <t>90</t>
  </si>
  <si>
    <t>725810402R00</t>
  </si>
  <si>
    <t>HZS - instalatér odborný</t>
  </si>
  <si>
    <t>Příčky z desek pórobetonových tl. 150 mm</t>
  </si>
  <si>
    <t>Zkrácený popis</t>
  </si>
  <si>
    <t>28</t>
  </si>
  <si>
    <t>342254811R00</t>
  </si>
  <si>
    <t>771</t>
  </si>
  <si>
    <t>CELK</t>
  </si>
  <si>
    <t>94_</t>
  </si>
  <si>
    <t>784195212R00</t>
  </si>
  <si>
    <t>725845111RT1</t>
  </si>
  <si>
    <t>65</t>
  </si>
  <si>
    <t>34</t>
  </si>
  <si>
    <t>62</t>
  </si>
  <si>
    <t>Odsekání vnitřních obkladů stěn nad 2 m2</t>
  </si>
  <si>
    <t>Dodávka a montáž odtokového žlabu 800-900mm nerez</t>
  </si>
  <si>
    <t>Izolace proti vodě</t>
  </si>
  <si>
    <t>601023193R00</t>
  </si>
  <si>
    <t>Vnitřní kanalizace</t>
  </si>
  <si>
    <t>RTS I / 2024</t>
  </si>
  <si>
    <t>Celkem bez DPH:</t>
  </si>
  <si>
    <t>Základ 12%</t>
  </si>
  <si>
    <t>DPH 12%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</si>
</sst>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_);\-#,##0.00\ &quot;Kč&quot;"/>
    <numFmt numFmtId="167" formatCode="#,##0\ &quot;Kč&quot;_);\-#,##0\ &quot;Kč&quot;"/>
    <numFmt numFmtId="168" formatCode="#,##0\ &quot;Kč&quot;_);[Red]\-#,##0\ &quot;Kč&quot;"/>
    <numFmt numFmtId="169" formatCode="#,##0.00\ &quot;Kč&quot;_);[Red]\-#,##0.00\ &quot;Kč&quot;"/>
    <numFmt numFmtId="170" formatCode="_(* #,##0\ _);_(\-* #,##0\ ;_(* &quot;-&quot;\ _);_(@_)"/>
    <numFmt numFmtId="171" formatCode="_(* #,##0\ &quot;Kč&quot;_);_(\-* #,##0\ &quot;Kč&quot;;_(* &quot;-&quot;\ &quot;Kč&quot;_);_(@_)"/>
    <numFmt numFmtId="172" formatCode="_(* #,##0.00\ &quot;Kč&quot;_);_(\-* #,##0.00\ &quot;Kč&quot;;_(* &quot;-&quot;??\ &quot;Kč&quot;_);_(@_)"/>
    <numFmt numFmtId="173" formatCode="_(* #,##0.00\ _);_(\-* #,##0.00\ ;_(* &quot;-&quot;??\ _);_(@_)"/>
    <numFmt numFmtId="174" formatCode="[$-405]dddd\ d\.\ mmmm\ yyyy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b/>
      <sz val="20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rgb="FF000000"/>
      </top>
      <bottom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/>
      <top/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/>
      <bottom/>
    </border>
    <border>
      <left/>
      <right style="medium"/>
      <top>
        <color indexed="8"/>
      </top>
      <bottom>
        <color indexed="8"/>
      </bottom>
    </border>
    <border>
      <left style="medium"/>
      <right/>
      <top>
        <color indexed="8"/>
      </top>
      <bottom style="medium"/>
    </border>
    <border>
      <left>
        <color indexed="8"/>
      </left>
      <right/>
      <top>
        <color indexed="8"/>
      </top>
      <bottom style="medium"/>
    </border>
    <border>
      <left/>
      <right style="medium"/>
      <top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9"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0" fontId="48" fillId="33" borderId="12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horizontal="right" vertical="center"/>
      <protection/>
    </xf>
    <xf numFmtId="4" fontId="49" fillId="33" borderId="14" xfId="0" applyNumberFormat="1" applyFont="1" applyFill="1" applyBorder="1" applyAlignment="1" applyProtection="1">
      <alignment horizontal="right" vertical="center"/>
      <protection/>
    </xf>
    <xf numFmtId="4" fontId="47" fillId="0" borderId="11" xfId="0" applyNumberFormat="1" applyFont="1" applyFill="1" applyBorder="1" applyAlignment="1" applyProtection="1">
      <alignment horizontal="right" vertical="center"/>
      <protection/>
    </xf>
    <xf numFmtId="0" fontId="45" fillId="0" borderId="15" xfId="0" applyNumberFormat="1" applyFont="1" applyFill="1" applyBorder="1" applyAlignment="1" applyProtection="1">
      <alignment horizontal="center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17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4" fontId="47" fillId="0" borderId="14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0" fontId="45" fillId="0" borderId="18" xfId="0" applyNumberFormat="1" applyFont="1" applyFill="1" applyBorder="1" applyAlignment="1" applyProtection="1">
      <alignment horizontal="center" vertical="center"/>
      <protection/>
    </xf>
    <xf numFmtId="0" fontId="48" fillId="33" borderId="19" xfId="0" applyNumberFormat="1" applyFont="1" applyFill="1" applyBorder="1" applyAlignment="1" applyProtection="1">
      <alignment horizontal="center" vertical="center"/>
      <protection/>
    </xf>
    <xf numFmtId="4" fontId="47" fillId="0" borderId="13" xfId="0" applyNumberFormat="1" applyFont="1" applyFill="1" applyBorder="1" applyAlignment="1" applyProtection="1">
      <alignment horizontal="righ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20" xfId="0" applyNumberFormat="1" applyFont="1" applyFill="1" applyBorder="1" applyAlignment="1" applyProtection="1">
      <alignment horizontal="center" vertical="center"/>
      <protection/>
    </xf>
    <xf numFmtId="4" fontId="49" fillId="33" borderId="12" xfId="0" applyNumberFormat="1" applyFont="1" applyFill="1" applyBorder="1" applyAlignment="1" applyProtection="1">
      <alignment horizontal="right" vertical="center"/>
      <protection/>
    </xf>
    <xf numFmtId="0" fontId="49" fillId="0" borderId="21" xfId="0" applyNumberFormat="1" applyFont="1" applyFill="1" applyBorder="1" applyAlignment="1" applyProtection="1">
      <alignment horizontal="lef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0" fontId="47" fillId="0" borderId="14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22" xfId="0" applyNumberFormat="1" applyFont="1" applyFill="1" applyBorder="1" applyAlignment="1" applyProtection="1">
      <alignment horizontal="left" vertical="center"/>
      <protection/>
    </xf>
    <xf numFmtId="0" fontId="45" fillId="0" borderId="23" xfId="0" applyNumberFormat="1" applyFont="1" applyFill="1" applyBorder="1" applyAlignment="1" applyProtection="1">
      <alignment horizontal="center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25" xfId="0" applyNumberFormat="1" applyFont="1" applyFill="1" applyBorder="1" applyAlignment="1" applyProtection="1">
      <alignment horizontal="center" vertical="center"/>
      <protection/>
    </xf>
    <xf numFmtId="0" fontId="46" fillId="33" borderId="26" xfId="0" applyNumberFormat="1" applyFont="1" applyFill="1" applyBorder="1" applyAlignment="1" applyProtection="1">
      <alignment horizontal="left" vertical="center"/>
      <protection/>
    </xf>
    <xf numFmtId="0" fontId="45" fillId="33" borderId="27" xfId="0" applyNumberFormat="1" applyFont="1" applyFill="1" applyBorder="1" applyAlignment="1" applyProtection="1">
      <alignment horizontal="right" vertical="center"/>
      <protection/>
    </xf>
    <xf numFmtId="0" fontId="46" fillId="0" borderId="27" xfId="0" applyNumberFormat="1" applyFont="1" applyFill="1" applyBorder="1" applyAlignment="1" applyProtection="1">
      <alignment horizontal="righ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4" fontId="46" fillId="0" borderId="29" xfId="0" applyNumberFormat="1" applyFont="1" applyFill="1" applyBorder="1" applyAlignment="1" applyProtection="1">
      <alignment horizontal="right" vertical="center"/>
      <protection/>
    </xf>
    <xf numFmtId="0" fontId="46" fillId="0" borderId="3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26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14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5" fillId="0" borderId="18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7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34" xfId="0" applyNumberFormat="1" applyFont="1" applyFill="1" applyBorder="1" applyAlignment="1" applyProtection="1">
      <alignment horizontal="center" vertical="center"/>
      <protection/>
    </xf>
    <xf numFmtId="0" fontId="45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36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9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37" xfId="0" applyNumberFormat="1" applyFont="1" applyFill="1" applyBorder="1" applyAlignment="1" applyProtection="1">
      <alignment horizontal="left" vertical="center" wrapText="1"/>
      <protection/>
    </xf>
    <xf numFmtId="0" fontId="46" fillId="0" borderId="38" xfId="0" applyNumberFormat="1" applyFont="1" applyFill="1" applyBorder="1" applyAlignment="1" applyProtection="1">
      <alignment horizontal="left" vertical="center"/>
      <protection/>
    </xf>
    <xf numFmtId="0" fontId="46" fillId="0" borderId="39" xfId="0" applyNumberFormat="1" applyFont="1" applyFill="1" applyBorder="1" applyAlignment="1" applyProtection="1">
      <alignment horizontal="left" vertical="center"/>
      <protection/>
    </xf>
    <xf numFmtId="0" fontId="46" fillId="0" borderId="39" xfId="0" applyNumberFormat="1" applyFont="1" applyFill="1" applyBorder="1" applyAlignment="1" applyProtection="1">
      <alignment horizontal="left" vertical="center" wrapText="1"/>
      <protection/>
    </xf>
    <xf numFmtId="0" fontId="46" fillId="0" borderId="40" xfId="0" applyNumberFormat="1" applyFont="1" applyFill="1" applyBorder="1" applyAlignment="1" applyProtection="1">
      <alignment horizontal="left" vertical="center"/>
      <protection/>
    </xf>
    <xf numFmtId="0" fontId="46" fillId="0" borderId="41" xfId="0" applyNumberFormat="1" applyFont="1" applyFill="1" applyBorder="1" applyAlignment="1" applyProtection="1">
      <alignment horizontal="left" vertical="center"/>
      <protection/>
    </xf>
    <xf numFmtId="0" fontId="46" fillId="0" borderId="38" xfId="0" applyNumberFormat="1" applyFont="1" applyFill="1" applyBorder="1" applyAlignment="1" applyProtection="1">
      <alignment horizontal="left" vertical="center" wrapText="1"/>
      <protection/>
    </xf>
    <xf numFmtId="0" fontId="45" fillId="0" borderId="38" xfId="0" applyNumberFormat="1" applyFont="1" applyFill="1" applyBorder="1" applyAlignment="1" applyProtection="1">
      <alignment horizontal="left" vertical="center" wrapText="1"/>
      <protection/>
    </xf>
    <xf numFmtId="0" fontId="45" fillId="0" borderId="38" xfId="0" applyNumberFormat="1" applyFont="1" applyFill="1" applyBorder="1" applyAlignment="1" applyProtection="1">
      <alignment horizontal="left" vertical="center"/>
      <protection/>
    </xf>
    <xf numFmtId="0" fontId="46" fillId="0" borderId="42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1" fontId="46" fillId="0" borderId="13" xfId="0" applyNumberFormat="1" applyFont="1" applyFill="1" applyBorder="1" applyAlignment="1" applyProtection="1">
      <alignment horizontal="left" vertical="center"/>
      <protection/>
    </xf>
    <xf numFmtId="14" fontId="46" fillId="0" borderId="13" xfId="0" applyNumberFormat="1" applyFont="1" applyFill="1" applyBorder="1" applyAlignment="1" applyProtection="1">
      <alignment horizontal="left" vertical="center" wrapText="1"/>
      <protection/>
    </xf>
    <xf numFmtId="14" fontId="46" fillId="0" borderId="14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43" xfId="0" applyNumberFormat="1" applyFont="1" applyFill="1" applyBorder="1" applyAlignment="1" applyProtection="1">
      <alignment horizontal="left" vertical="center"/>
      <protection/>
    </xf>
    <xf numFmtId="0" fontId="53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40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44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43" xfId="0" applyNumberFormat="1" applyFont="1" applyFill="1" applyBorder="1" applyAlignment="1" applyProtection="1">
      <alignment horizontal="left" vertical="center"/>
      <protection/>
    </xf>
    <xf numFmtId="0" fontId="49" fillId="0" borderId="41" xfId="0" applyNumberFormat="1" applyFont="1" applyFill="1" applyBorder="1" applyAlignment="1" applyProtection="1">
      <alignment horizontal="left" vertical="center"/>
      <protection/>
    </xf>
    <xf numFmtId="0" fontId="49" fillId="33" borderId="44" xfId="0" applyNumberFormat="1" applyFont="1" applyFill="1" applyBorder="1" applyAlignment="1" applyProtection="1">
      <alignment horizontal="left" vertical="center"/>
      <protection/>
    </xf>
    <xf numFmtId="0" fontId="49" fillId="33" borderId="43" xfId="0" applyNumberFormat="1" applyFont="1" applyFill="1" applyBorder="1" applyAlignment="1" applyProtection="1">
      <alignment horizontal="left" vertical="center"/>
      <protection/>
    </xf>
    <xf numFmtId="0" fontId="49" fillId="33" borderId="40" xfId="0" applyNumberFormat="1" applyFont="1" applyFill="1" applyBorder="1" applyAlignment="1" applyProtection="1">
      <alignment horizontal="left" vertical="center"/>
      <protection/>
    </xf>
    <xf numFmtId="0" fontId="49" fillId="33" borderId="41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7" fillId="0" borderId="46" xfId="0" applyNumberFormat="1" applyFont="1" applyFill="1" applyBorder="1" applyAlignment="1" applyProtection="1">
      <alignment horizontal="left" vertical="center"/>
      <protection/>
    </xf>
    <xf numFmtId="0" fontId="47" fillId="0" borderId="47" xfId="0" applyNumberFormat="1" applyFont="1" applyFill="1" applyBorder="1" applyAlignment="1" applyProtection="1">
      <alignment horizontal="left" vertical="center"/>
      <protection/>
    </xf>
    <xf numFmtId="0" fontId="47" fillId="0" borderId="48" xfId="0" applyNumberFormat="1" applyFont="1" applyFill="1" applyBorder="1" applyAlignment="1" applyProtection="1">
      <alignment horizontal="left" vertical="center"/>
      <protection/>
    </xf>
    <xf numFmtId="0" fontId="47" fillId="0" borderId="49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5"/>
  <sheetViews>
    <sheetView showOutlineSymbols="0" zoomScale="70" zoomScaleNormal="70" zoomScalePageLayoutView="0" workbookViewId="0" topLeftCell="A1">
      <pane ySplit="11" topLeftCell="A63" activePane="bottomLeft" state="frozen"/>
      <selection pane="topLeft" activeCell="A97" sqref="A97:N97"/>
      <selection pane="bottomLeft" activeCell="H18" sqref="H18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83.5" style="0" customWidth="1"/>
    <col min="6" max="6" width="7.5" style="0" customWidth="1"/>
    <col min="7" max="7" width="15" style="0" customWidth="1"/>
    <col min="8" max="8" width="14" style="0" customWidth="1"/>
    <col min="9" max="11" width="18.33203125" style="0" customWidth="1"/>
    <col min="12" max="14" width="13.66015625" style="0" customWidth="1"/>
    <col min="15" max="24" width="14.16015625" style="0" customWidth="1"/>
    <col min="25" max="74" width="14.16015625" style="0" hidden="1" customWidth="1"/>
  </cols>
  <sheetData>
    <row r="1" spans="1:14" ht="54.75" customHeight="1" thickBot="1">
      <c r="A1" s="44" t="s">
        <v>167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>
      <c r="A2" s="45" t="s">
        <v>16</v>
      </c>
      <c r="B2" s="46"/>
      <c r="C2" s="46"/>
      <c r="D2" s="57" t="s">
        <v>115</v>
      </c>
      <c r="E2" s="58"/>
      <c r="F2" s="46" t="s">
        <v>0</v>
      </c>
      <c r="G2" s="46"/>
      <c r="H2" s="46" t="s">
        <v>294</v>
      </c>
      <c r="I2" s="50" t="s">
        <v>267</v>
      </c>
      <c r="J2" s="46" t="s">
        <v>150</v>
      </c>
      <c r="K2" s="46"/>
      <c r="L2" s="46"/>
      <c r="M2" s="46"/>
      <c r="N2" s="53"/>
    </row>
    <row r="3" spans="1:14" ht="15" customHeight="1">
      <c r="A3" s="47"/>
      <c r="B3" s="48"/>
      <c r="C3" s="48"/>
      <c r="D3" s="59"/>
      <c r="E3" s="59"/>
      <c r="F3" s="48"/>
      <c r="G3" s="48"/>
      <c r="H3" s="48"/>
      <c r="I3" s="48"/>
      <c r="J3" s="48"/>
      <c r="K3" s="48"/>
      <c r="L3" s="48"/>
      <c r="M3" s="48"/>
      <c r="N3" s="54"/>
    </row>
    <row r="4" spans="1:14" ht="15" customHeight="1">
      <c r="A4" s="49" t="s">
        <v>168</v>
      </c>
      <c r="B4" s="48"/>
      <c r="C4" s="48"/>
      <c r="D4" s="51" t="s">
        <v>332</v>
      </c>
      <c r="E4" s="48"/>
      <c r="F4" s="48" t="s">
        <v>283</v>
      </c>
      <c r="G4" s="48"/>
      <c r="H4" s="48" t="s">
        <v>294</v>
      </c>
      <c r="I4" s="51" t="s">
        <v>219</v>
      </c>
      <c r="J4" s="48" t="s">
        <v>150</v>
      </c>
      <c r="K4" s="48"/>
      <c r="L4" s="48"/>
      <c r="M4" s="48"/>
      <c r="N4" s="54"/>
    </row>
    <row r="5" spans="1:14" ht="1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4"/>
    </row>
    <row r="6" spans="1:14" ht="15" customHeight="1">
      <c r="A6" s="49" t="s">
        <v>23</v>
      </c>
      <c r="B6" s="48"/>
      <c r="C6" s="48"/>
      <c r="D6" s="51" t="s">
        <v>307</v>
      </c>
      <c r="E6" s="48"/>
      <c r="F6" s="48" t="s">
        <v>90</v>
      </c>
      <c r="G6" s="48"/>
      <c r="H6" s="48" t="s">
        <v>294</v>
      </c>
      <c r="I6" s="51" t="s">
        <v>276</v>
      </c>
      <c r="J6" s="48" t="s">
        <v>150</v>
      </c>
      <c r="K6" s="48"/>
      <c r="L6" s="48"/>
      <c r="M6" s="48"/>
      <c r="N6" s="54"/>
    </row>
    <row r="7" spans="1:14" ht="1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54"/>
    </row>
    <row r="8" spans="1:14" ht="15" customHeight="1">
      <c r="A8" s="49" t="s">
        <v>155</v>
      </c>
      <c r="B8" s="48"/>
      <c r="C8" s="48"/>
      <c r="D8" s="51" t="s">
        <v>294</v>
      </c>
      <c r="E8" s="48"/>
      <c r="F8" s="48" t="s">
        <v>173</v>
      </c>
      <c r="G8" s="48"/>
      <c r="H8" s="52">
        <v>45319</v>
      </c>
      <c r="I8" s="51" t="s">
        <v>211</v>
      </c>
      <c r="J8" s="48" t="s">
        <v>150</v>
      </c>
      <c r="K8" s="48"/>
      <c r="L8" s="48"/>
      <c r="M8" s="48"/>
      <c r="N8" s="54"/>
    </row>
    <row r="9" spans="1:14" ht="15" customHeight="1" thickBo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4"/>
    </row>
    <row r="10" spans="1:64" ht="15" customHeight="1">
      <c r="A10" s="29" t="s">
        <v>20</v>
      </c>
      <c r="B10" s="42" t="s">
        <v>235</v>
      </c>
      <c r="C10" s="42" t="s">
        <v>94</v>
      </c>
      <c r="D10" s="55" t="s">
        <v>337</v>
      </c>
      <c r="E10" s="56"/>
      <c r="F10" s="42" t="s">
        <v>100</v>
      </c>
      <c r="G10" s="19" t="s">
        <v>185</v>
      </c>
      <c r="H10" s="1" t="s">
        <v>89</v>
      </c>
      <c r="I10" s="62" t="s">
        <v>202</v>
      </c>
      <c r="J10" s="63"/>
      <c r="K10" s="64"/>
      <c r="L10" s="63" t="s">
        <v>43</v>
      </c>
      <c r="M10" s="63"/>
      <c r="N10" s="30" t="s">
        <v>74</v>
      </c>
      <c r="BK10" s="18" t="s">
        <v>120</v>
      </c>
      <c r="BL10" s="15" t="s">
        <v>162</v>
      </c>
    </row>
    <row r="11" spans="1:62" ht="15" customHeight="1" thickBot="1">
      <c r="A11" s="31" t="s">
        <v>294</v>
      </c>
      <c r="B11" s="2" t="s">
        <v>294</v>
      </c>
      <c r="C11" s="2" t="s">
        <v>294</v>
      </c>
      <c r="D11" s="60" t="s">
        <v>317</v>
      </c>
      <c r="E11" s="61"/>
      <c r="F11" s="2" t="s">
        <v>294</v>
      </c>
      <c r="G11" s="2" t="s">
        <v>294</v>
      </c>
      <c r="H11" s="11" t="s">
        <v>298</v>
      </c>
      <c r="I11" s="23" t="s">
        <v>8</v>
      </c>
      <c r="J11" s="3" t="s">
        <v>51</v>
      </c>
      <c r="K11" s="9" t="s">
        <v>30</v>
      </c>
      <c r="L11" s="3" t="s">
        <v>96</v>
      </c>
      <c r="M11" s="11" t="s">
        <v>30</v>
      </c>
      <c r="N11" s="32" t="s">
        <v>70</v>
      </c>
      <c r="Z11" s="18" t="s">
        <v>248</v>
      </c>
      <c r="AA11" s="18" t="s">
        <v>191</v>
      </c>
      <c r="AB11" s="18" t="s">
        <v>328</v>
      </c>
      <c r="AC11" s="18" t="s">
        <v>79</v>
      </c>
      <c r="AD11" s="18" t="s">
        <v>270</v>
      </c>
      <c r="AE11" s="18" t="s">
        <v>109</v>
      </c>
      <c r="AF11" s="18" t="s">
        <v>290</v>
      </c>
      <c r="AG11" s="18" t="s">
        <v>132</v>
      </c>
      <c r="AH11" s="18" t="s">
        <v>72</v>
      </c>
      <c r="BH11" s="18" t="s">
        <v>249</v>
      </c>
      <c r="BI11" s="18" t="s">
        <v>321</v>
      </c>
      <c r="BJ11" s="18" t="s">
        <v>341</v>
      </c>
    </row>
    <row r="12" spans="1:47" ht="15" customHeight="1">
      <c r="A12" s="33" t="s">
        <v>221</v>
      </c>
      <c r="B12" s="41" t="s">
        <v>221</v>
      </c>
      <c r="C12" s="41" t="s">
        <v>346</v>
      </c>
      <c r="D12" s="65" t="s">
        <v>63</v>
      </c>
      <c r="E12" s="65"/>
      <c r="F12" s="28" t="s">
        <v>294</v>
      </c>
      <c r="G12" s="28" t="s">
        <v>294</v>
      </c>
      <c r="H12" s="28" t="s">
        <v>294</v>
      </c>
      <c r="I12" s="26">
        <f>SUM(I13:I15)</f>
        <v>0</v>
      </c>
      <c r="J12" s="26">
        <f>SUM(J13:J15)</f>
        <v>0</v>
      </c>
      <c r="K12" s="26">
        <f>SUM(K13:K15)</f>
        <v>0</v>
      </c>
      <c r="L12" s="18" t="s">
        <v>221</v>
      </c>
      <c r="M12" s="26">
        <f>SUM(M13:M15)</f>
        <v>1.12755</v>
      </c>
      <c r="N12" s="34" t="s">
        <v>221</v>
      </c>
      <c r="AI12" s="18" t="s">
        <v>221</v>
      </c>
      <c r="AS12" s="26">
        <f>SUM(AJ13:AJ15)</f>
        <v>0</v>
      </c>
      <c r="AT12" s="26">
        <f>SUM(AK13:AK15)</f>
        <v>0</v>
      </c>
      <c r="AU12" s="26">
        <f>SUM(AL13:AL15)</f>
        <v>0</v>
      </c>
    </row>
    <row r="13" spans="1:64" ht="15" customHeight="1">
      <c r="A13" s="43" t="s">
        <v>313</v>
      </c>
      <c r="B13" s="39" t="s">
        <v>221</v>
      </c>
      <c r="C13" s="39" t="s">
        <v>339</v>
      </c>
      <c r="D13" s="48" t="s">
        <v>336</v>
      </c>
      <c r="E13" s="48"/>
      <c r="F13" s="39" t="s">
        <v>309</v>
      </c>
      <c r="G13" s="22">
        <v>2</v>
      </c>
      <c r="H13" s="22">
        <v>0</v>
      </c>
      <c r="I13" s="22">
        <f>G13*AO13</f>
        <v>0</v>
      </c>
      <c r="J13" s="22">
        <f>G13*AP13</f>
        <v>0</v>
      </c>
      <c r="K13" s="22">
        <f>G13*H13</f>
        <v>0</v>
      </c>
      <c r="L13" s="22">
        <v>0.1372</v>
      </c>
      <c r="M13" s="22">
        <f>G13*L13</f>
        <v>0.2744</v>
      </c>
      <c r="N13" s="35" t="s">
        <v>353</v>
      </c>
      <c r="Z13" s="22">
        <f>IF(AQ13="5",BJ13,0)</f>
        <v>0</v>
      </c>
      <c r="AB13" s="22">
        <f>IF(AQ13="1",BH13,0)</f>
        <v>0</v>
      </c>
      <c r="AC13" s="22">
        <f>IF(AQ13="1",BI13,0)</f>
        <v>0</v>
      </c>
      <c r="AD13" s="22">
        <f>IF(AQ13="7",BH13,0)</f>
        <v>0</v>
      </c>
      <c r="AE13" s="22">
        <f>IF(AQ13="7",BI13,0)</f>
        <v>0</v>
      </c>
      <c r="AF13" s="22">
        <f>IF(AQ13="2",BH13,0)</f>
        <v>0</v>
      </c>
      <c r="AG13" s="22">
        <f>IF(AQ13="2",BI13,0)</f>
        <v>0</v>
      </c>
      <c r="AH13" s="22">
        <f>IF(AQ13="0",BJ13,0)</f>
        <v>0</v>
      </c>
      <c r="AI13" s="18" t="s">
        <v>221</v>
      </c>
      <c r="AJ13" s="22">
        <f>IF(AN13=0,K13,0)</f>
        <v>0</v>
      </c>
      <c r="AK13" s="22">
        <f>IF(AN13=15,K13,0)</f>
        <v>0</v>
      </c>
      <c r="AL13" s="22">
        <f>IF(AN13=21,K13,0)</f>
        <v>0</v>
      </c>
      <c r="AN13" s="22">
        <v>21</v>
      </c>
      <c r="AO13" s="22">
        <f>H13*0.689957118353345</f>
        <v>0</v>
      </c>
      <c r="AP13" s="22">
        <f>H13*(1-0.689957118353345)</f>
        <v>0</v>
      </c>
      <c r="AQ13" s="13" t="s">
        <v>313</v>
      </c>
      <c r="AV13" s="22">
        <f>AW13+AX13</f>
        <v>0</v>
      </c>
      <c r="AW13" s="22">
        <f>G13*AO13</f>
        <v>0</v>
      </c>
      <c r="AX13" s="22">
        <f>G13*AP13</f>
        <v>0</v>
      </c>
      <c r="AY13" s="13" t="s">
        <v>226</v>
      </c>
      <c r="AZ13" s="13" t="s">
        <v>11</v>
      </c>
      <c r="BA13" s="18" t="s">
        <v>241</v>
      </c>
      <c r="BC13" s="22">
        <f>AW13+AX13</f>
        <v>0</v>
      </c>
      <c r="BD13" s="22">
        <f>H13/(100-BE13)*100</f>
        <v>0</v>
      </c>
      <c r="BE13" s="22">
        <v>0</v>
      </c>
      <c r="BF13" s="22">
        <f>M13</f>
        <v>0.2744</v>
      </c>
      <c r="BH13" s="22">
        <f>G13*AO13</f>
        <v>0</v>
      </c>
      <c r="BI13" s="22">
        <f>G13*AP13</f>
        <v>0</v>
      </c>
      <c r="BJ13" s="22">
        <f>G13*H13</f>
        <v>0</v>
      </c>
      <c r="BK13" s="22"/>
      <c r="BL13" s="22">
        <v>34</v>
      </c>
    </row>
    <row r="14" spans="1:64" ht="15" customHeight="1">
      <c r="A14" s="43" t="s">
        <v>218</v>
      </c>
      <c r="B14" s="39" t="s">
        <v>221</v>
      </c>
      <c r="C14" s="39" t="s">
        <v>178</v>
      </c>
      <c r="D14" s="48" t="s">
        <v>24</v>
      </c>
      <c r="E14" s="48"/>
      <c r="F14" s="39" t="s">
        <v>68</v>
      </c>
      <c r="G14" s="22">
        <v>4</v>
      </c>
      <c r="H14" s="22">
        <v>0</v>
      </c>
      <c r="I14" s="22">
        <f>G14*AO14</f>
        <v>0</v>
      </c>
      <c r="J14" s="22">
        <f>G14*AP14</f>
        <v>0</v>
      </c>
      <c r="K14" s="22">
        <f>G14*H14</f>
        <v>0</v>
      </c>
      <c r="L14" s="22">
        <v>0.01148</v>
      </c>
      <c r="M14" s="22">
        <f>G14*L14</f>
        <v>0.04592</v>
      </c>
      <c r="N14" s="35" t="s">
        <v>353</v>
      </c>
      <c r="Z14" s="22">
        <f>IF(AQ14="5",BJ14,0)</f>
        <v>0</v>
      </c>
      <c r="AB14" s="22">
        <f>IF(AQ14="1",BH14,0)</f>
        <v>0</v>
      </c>
      <c r="AC14" s="22">
        <f>IF(AQ14="1",BI14,0)</f>
        <v>0</v>
      </c>
      <c r="AD14" s="22">
        <f>IF(AQ14="7",BH14,0)</f>
        <v>0</v>
      </c>
      <c r="AE14" s="22">
        <f>IF(AQ14="7",BI14,0)</f>
        <v>0</v>
      </c>
      <c r="AF14" s="22">
        <f>IF(AQ14="2",BH14,0)</f>
        <v>0</v>
      </c>
      <c r="AG14" s="22">
        <f>IF(AQ14="2",BI14,0)</f>
        <v>0</v>
      </c>
      <c r="AH14" s="22">
        <f>IF(AQ14="0",BJ14,0)</f>
        <v>0</v>
      </c>
      <c r="AI14" s="18" t="s">
        <v>221</v>
      </c>
      <c r="AJ14" s="22">
        <f>IF(AN14=0,K14,0)</f>
        <v>0</v>
      </c>
      <c r="AK14" s="22">
        <f>IF(AN14=15,K14,0)</f>
        <v>0</v>
      </c>
      <c r="AL14" s="22">
        <f>IF(AN14=21,K14,0)</f>
        <v>0</v>
      </c>
      <c r="AN14" s="22">
        <v>21</v>
      </c>
      <c r="AO14" s="22">
        <f>H14*0.907278017241379</f>
        <v>0</v>
      </c>
      <c r="AP14" s="22">
        <f>H14*(1-0.907278017241379)</f>
        <v>0</v>
      </c>
      <c r="AQ14" s="13" t="s">
        <v>313</v>
      </c>
      <c r="AV14" s="22">
        <f>AW14+AX14</f>
        <v>0</v>
      </c>
      <c r="AW14" s="22">
        <f>G14*AO14</f>
        <v>0</v>
      </c>
      <c r="AX14" s="22">
        <f>G14*AP14</f>
        <v>0</v>
      </c>
      <c r="AY14" s="13" t="s">
        <v>226</v>
      </c>
      <c r="AZ14" s="13" t="s">
        <v>11</v>
      </c>
      <c r="BA14" s="18" t="s">
        <v>241</v>
      </c>
      <c r="BC14" s="22">
        <f>AW14+AX14</f>
        <v>0</v>
      </c>
      <c r="BD14" s="22">
        <f>H14/(100-BE14)*100</f>
        <v>0</v>
      </c>
      <c r="BE14" s="22">
        <v>0</v>
      </c>
      <c r="BF14" s="22">
        <f>M14</f>
        <v>0.04592</v>
      </c>
      <c r="BH14" s="22">
        <f>G14*AO14</f>
        <v>0</v>
      </c>
      <c r="BI14" s="22">
        <f>G14*AP14</f>
        <v>0</v>
      </c>
      <c r="BJ14" s="22">
        <f>G14*H14</f>
        <v>0</v>
      </c>
      <c r="BK14" s="22"/>
      <c r="BL14" s="22">
        <v>34</v>
      </c>
    </row>
    <row r="15" spans="1:64" ht="15" customHeight="1">
      <c r="A15" s="43" t="s">
        <v>273</v>
      </c>
      <c r="B15" s="39" t="s">
        <v>221</v>
      </c>
      <c r="C15" s="39" t="s">
        <v>299</v>
      </c>
      <c r="D15" s="48" t="s">
        <v>93</v>
      </c>
      <c r="E15" s="48"/>
      <c r="F15" s="39" t="s">
        <v>68</v>
      </c>
      <c r="G15" s="22">
        <v>1</v>
      </c>
      <c r="H15" s="22">
        <v>0</v>
      </c>
      <c r="I15" s="22">
        <f>G15*AO15</f>
        <v>0</v>
      </c>
      <c r="J15" s="22">
        <f>G15*AP15</f>
        <v>0</v>
      </c>
      <c r="K15" s="22">
        <f>G15*H15</f>
        <v>0</v>
      </c>
      <c r="L15" s="22">
        <v>0.80723</v>
      </c>
      <c r="M15" s="22">
        <f>G15*L15</f>
        <v>0.80723</v>
      </c>
      <c r="N15" s="35" t="s">
        <v>353</v>
      </c>
      <c r="Z15" s="22">
        <f>IF(AQ15="5",BJ15,0)</f>
        <v>0</v>
      </c>
      <c r="AB15" s="22">
        <f>IF(AQ15="1",BH15,0)</f>
        <v>0</v>
      </c>
      <c r="AC15" s="22">
        <f>IF(AQ15="1",BI15,0)</f>
        <v>0</v>
      </c>
      <c r="AD15" s="22">
        <f>IF(AQ15="7",BH15,0)</f>
        <v>0</v>
      </c>
      <c r="AE15" s="22">
        <f>IF(AQ15="7",BI15,0)</f>
        <v>0</v>
      </c>
      <c r="AF15" s="22">
        <f>IF(AQ15="2",BH15,0)</f>
        <v>0</v>
      </c>
      <c r="AG15" s="22">
        <f>IF(AQ15="2",BI15,0)</f>
        <v>0</v>
      </c>
      <c r="AH15" s="22">
        <f>IF(AQ15="0",BJ15,0)</f>
        <v>0</v>
      </c>
      <c r="AI15" s="18" t="s">
        <v>221</v>
      </c>
      <c r="AJ15" s="22">
        <f>IF(AN15=0,K15,0)</f>
        <v>0</v>
      </c>
      <c r="AK15" s="22">
        <f>IF(AN15=15,K15,0)</f>
        <v>0</v>
      </c>
      <c r="AL15" s="22">
        <f>IF(AN15=21,K15,0)</f>
        <v>0</v>
      </c>
      <c r="AN15" s="22">
        <v>21</v>
      </c>
      <c r="AO15" s="22">
        <f>H15*0.257010455858669</f>
        <v>0</v>
      </c>
      <c r="AP15" s="22">
        <f>H15*(1-0.257010455858669)</f>
        <v>0</v>
      </c>
      <c r="AQ15" s="13" t="s">
        <v>313</v>
      </c>
      <c r="AV15" s="22">
        <f>AW15+AX15</f>
        <v>0</v>
      </c>
      <c r="AW15" s="22">
        <f>G15*AO15</f>
        <v>0</v>
      </c>
      <c r="AX15" s="22">
        <f>G15*AP15</f>
        <v>0</v>
      </c>
      <c r="AY15" s="13" t="s">
        <v>226</v>
      </c>
      <c r="AZ15" s="13" t="s">
        <v>11</v>
      </c>
      <c r="BA15" s="18" t="s">
        <v>241</v>
      </c>
      <c r="BC15" s="22">
        <f>AW15+AX15</f>
        <v>0</v>
      </c>
      <c r="BD15" s="22">
        <f>H15/(100-BE15)*100</f>
        <v>0</v>
      </c>
      <c r="BE15" s="22">
        <v>0</v>
      </c>
      <c r="BF15" s="22">
        <f>M15</f>
        <v>0.80723</v>
      </c>
      <c r="BH15" s="22">
        <f>G15*AO15</f>
        <v>0</v>
      </c>
      <c r="BI15" s="22">
        <f>G15*AP15</f>
        <v>0</v>
      </c>
      <c r="BJ15" s="22">
        <f>G15*H15</f>
        <v>0</v>
      </c>
      <c r="BK15" s="22"/>
      <c r="BL15" s="22">
        <v>34</v>
      </c>
    </row>
    <row r="16" spans="1:47" ht="15" customHeight="1">
      <c r="A16" s="33" t="s">
        <v>221</v>
      </c>
      <c r="B16" s="41" t="s">
        <v>221</v>
      </c>
      <c r="C16" s="41" t="s">
        <v>232</v>
      </c>
      <c r="D16" s="65" t="s">
        <v>229</v>
      </c>
      <c r="E16" s="65"/>
      <c r="F16" s="28" t="s">
        <v>294</v>
      </c>
      <c r="G16" s="28" t="s">
        <v>294</v>
      </c>
      <c r="H16" s="28" t="s">
        <v>294</v>
      </c>
      <c r="I16" s="26">
        <f>SUM(I17:I22)</f>
        <v>0</v>
      </c>
      <c r="J16" s="26">
        <f>SUM(J17:J22)</f>
        <v>0</v>
      </c>
      <c r="K16" s="26">
        <f>SUM(K17:K22)</f>
        <v>0</v>
      </c>
      <c r="L16" s="18" t="s">
        <v>221</v>
      </c>
      <c r="M16" s="26">
        <f>SUM(M17:M22)</f>
        <v>2.3753990000000003</v>
      </c>
      <c r="N16" s="34" t="s">
        <v>221</v>
      </c>
      <c r="AI16" s="18" t="s">
        <v>221</v>
      </c>
      <c r="AS16" s="26">
        <f>SUM(AJ17:AJ22)</f>
        <v>0</v>
      </c>
      <c r="AT16" s="26">
        <f>SUM(AK17:AK22)</f>
        <v>0</v>
      </c>
      <c r="AU16" s="26">
        <f>SUM(AL17:AL22)</f>
        <v>0</v>
      </c>
    </row>
    <row r="17" spans="1:64" ht="15" customHeight="1">
      <c r="A17" s="43" t="s">
        <v>32</v>
      </c>
      <c r="B17" s="39" t="s">
        <v>221</v>
      </c>
      <c r="C17" s="39" t="s">
        <v>149</v>
      </c>
      <c r="D17" s="48" t="s">
        <v>169</v>
      </c>
      <c r="E17" s="48"/>
      <c r="F17" s="39" t="s">
        <v>263</v>
      </c>
      <c r="G17" s="22">
        <v>147.4</v>
      </c>
      <c r="H17" s="22">
        <v>0</v>
      </c>
      <c r="I17" s="22">
        <f aca="true" t="shared" si="0" ref="I17:I22">G17*AO17</f>
        <v>0</v>
      </c>
      <c r="J17" s="22">
        <f aca="true" t="shared" si="1" ref="J17:J22">G17*AP17</f>
        <v>0</v>
      </c>
      <c r="K17" s="22">
        <f aca="true" t="shared" si="2" ref="K17:K22">G17*H17</f>
        <v>0</v>
      </c>
      <c r="L17" s="22">
        <v>0.00238</v>
      </c>
      <c r="M17" s="22">
        <f aca="true" t="shared" si="3" ref="M17:M22">G17*L17</f>
        <v>0.350812</v>
      </c>
      <c r="N17" s="35" t="s">
        <v>353</v>
      </c>
      <c r="Z17" s="22">
        <f aca="true" t="shared" si="4" ref="Z17:Z22">IF(AQ17="5",BJ17,0)</f>
        <v>0</v>
      </c>
      <c r="AB17" s="22">
        <f aca="true" t="shared" si="5" ref="AB17:AB22">IF(AQ17="1",BH17,0)</f>
        <v>0</v>
      </c>
      <c r="AC17" s="22">
        <f aca="true" t="shared" si="6" ref="AC17:AC22">IF(AQ17="1",BI17,0)</f>
        <v>0</v>
      </c>
      <c r="AD17" s="22">
        <f aca="true" t="shared" si="7" ref="AD17:AD22">IF(AQ17="7",BH17,0)</f>
        <v>0</v>
      </c>
      <c r="AE17" s="22">
        <f aca="true" t="shared" si="8" ref="AE17:AE22">IF(AQ17="7",BI17,0)</f>
        <v>0</v>
      </c>
      <c r="AF17" s="22">
        <f aca="true" t="shared" si="9" ref="AF17:AF22">IF(AQ17="2",BH17,0)</f>
        <v>0</v>
      </c>
      <c r="AG17" s="22">
        <f aca="true" t="shared" si="10" ref="AG17:AG22">IF(AQ17="2",BI17,0)</f>
        <v>0</v>
      </c>
      <c r="AH17" s="22">
        <f aca="true" t="shared" si="11" ref="AH17:AH22">IF(AQ17="0",BJ17,0)</f>
        <v>0</v>
      </c>
      <c r="AI17" s="18" t="s">
        <v>221</v>
      </c>
      <c r="AJ17" s="22">
        <f aca="true" t="shared" si="12" ref="AJ17:AJ22">IF(AN17=0,K17,0)</f>
        <v>0</v>
      </c>
      <c r="AK17" s="22">
        <f aca="true" t="shared" si="13" ref="AK17:AK22">IF(AN17=15,K17,0)</f>
        <v>0</v>
      </c>
      <c r="AL17" s="22">
        <f aca="true" t="shared" si="14" ref="AL17:AL22">IF(AN17=21,K17,0)</f>
        <v>0</v>
      </c>
      <c r="AN17" s="22">
        <v>21</v>
      </c>
      <c r="AO17" s="22">
        <f>H17*0.21084142394822</f>
        <v>0</v>
      </c>
      <c r="AP17" s="22">
        <f>H17*(1-0.21084142394822)</f>
        <v>0</v>
      </c>
      <c r="AQ17" s="13" t="s">
        <v>313</v>
      </c>
      <c r="AV17" s="22">
        <f aca="true" t="shared" si="15" ref="AV17:AV22">AW17+AX17</f>
        <v>0</v>
      </c>
      <c r="AW17" s="22">
        <f aca="true" t="shared" si="16" ref="AW17:AW22">G17*AO17</f>
        <v>0</v>
      </c>
      <c r="AX17" s="22">
        <f aca="true" t="shared" si="17" ref="AX17:AX22">G17*AP17</f>
        <v>0</v>
      </c>
      <c r="AY17" s="13" t="s">
        <v>195</v>
      </c>
      <c r="AZ17" s="13" t="s">
        <v>37</v>
      </c>
      <c r="BA17" s="18" t="s">
        <v>241</v>
      </c>
      <c r="BC17" s="22">
        <f aca="true" t="shared" si="18" ref="BC17:BC22">AW17+AX17</f>
        <v>0</v>
      </c>
      <c r="BD17" s="22">
        <f aca="true" t="shared" si="19" ref="BD17:BD22">H17/(100-BE17)*100</f>
        <v>0</v>
      </c>
      <c r="BE17" s="22">
        <v>0</v>
      </c>
      <c r="BF17" s="22">
        <f aca="true" t="shared" si="20" ref="BF17:BF22">M17</f>
        <v>0.350812</v>
      </c>
      <c r="BH17" s="22">
        <f aca="true" t="shared" si="21" ref="BH17:BH22">G17*AO17</f>
        <v>0</v>
      </c>
      <c r="BI17" s="22">
        <f aca="true" t="shared" si="22" ref="BI17:BI22">G17*AP17</f>
        <v>0</v>
      </c>
      <c r="BJ17" s="22">
        <f aca="true" t="shared" si="23" ref="BJ17:BJ22">G17*H17</f>
        <v>0</v>
      </c>
      <c r="BK17" s="22"/>
      <c r="BL17" s="22">
        <v>61</v>
      </c>
    </row>
    <row r="18" spans="1:64" ht="15" customHeight="1">
      <c r="A18" s="43" t="s">
        <v>164</v>
      </c>
      <c r="B18" s="39" t="s">
        <v>221</v>
      </c>
      <c r="C18" s="39" t="s">
        <v>98</v>
      </c>
      <c r="D18" s="48" t="s">
        <v>152</v>
      </c>
      <c r="E18" s="48"/>
      <c r="F18" s="39" t="s">
        <v>309</v>
      </c>
      <c r="G18" s="22">
        <v>107.05</v>
      </c>
      <c r="H18" s="22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v>0.00635</v>
      </c>
      <c r="M18" s="22">
        <f t="shared" si="3"/>
        <v>0.6797675</v>
      </c>
      <c r="N18" s="35" t="s">
        <v>353</v>
      </c>
      <c r="Z18" s="22">
        <f t="shared" si="4"/>
        <v>0</v>
      </c>
      <c r="AB18" s="22">
        <f t="shared" si="5"/>
        <v>0</v>
      </c>
      <c r="AC18" s="22">
        <f t="shared" si="6"/>
        <v>0</v>
      </c>
      <c r="AD18" s="22">
        <f t="shared" si="7"/>
        <v>0</v>
      </c>
      <c r="AE18" s="22">
        <f t="shared" si="8"/>
        <v>0</v>
      </c>
      <c r="AF18" s="22">
        <f t="shared" si="9"/>
        <v>0</v>
      </c>
      <c r="AG18" s="22">
        <f t="shared" si="10"/>
        <v>0</v>
      </c>
      <c r="AH18" s="22">
        <f t="shared" si="11"/>
        <v>0</v>
      </c>
      <c r="AI18" s="18" t="s">
        <v>221</v>
      </c>
      <c r="AJ18" s="22">
        <f t="shared" si="12"/>
        <v>0</v>
      </c>
      <c r="AK18" s="22">
        <f t="shared" si="13"/>
        <v>0</v>
      </c>
      <c r="AL18" s="22">
        <f t="shared" si="14"/>
        <v>0</v>
      </c>
      <c r="AN18" s="22">
        <v>21</v>
      </c>
      <c r="AO18" s="22">
        <f>H18*0.0488981901033397</f>
        <v>0</v>
      </c>
      <c r="AP18" s="22">
        <f>H18*(1-0.0488981901033397)</f>
        <v>0</v>
      </c>
      <c r="AQ18" s="13" t="s">
        <v>313</v>
      </c>
      <c r="AV18" s="22">
        <f t="shared" si="15"/>
        <v>0</v>
      </c>
      <c r="AW18" s="22">
        <f t="shared" si="16"/>
        <v>0</v>
      </c>
      <c r="AX18" s="22">
        <f t="shared" si="17"/>
        <v>0</v>
      </c>
      <c r="AY18" s="13" t="s">
        <v>195</v>
      </c>
      <c r="AZ18" s="13" t="s">
        <v>37</v>
      </c>
      <c r="BA18" s="18" t="s">
        <v>241</v>
      </c>
      <c r="BC18" s="22">
        <f t="shared" si="18"/>
        <v>0</v>
      </c>
      <c r="BD18" s="22">
        <f t="shared" si="19"/>
        <v>0</v>
      </c>
      <c r="BE18" s="22">
        <v>0</v>
      </c>
      <c r="BF18" s="22">
        <f t="shared" si="20"/>
        <v>0.6797675</v>
      </c>
      <c r="BH18" s="22">
        <f t="shared" si="21"/>
        <v>0</v>
      </c>
      <c r="BI18" s="22">
        <f t="shared" si="22"/>
        <v>0</v>
      </c>
      <c r="BJ18" s="22">
        <f t="shared" si="23"/>
        <v>0</v>
      </c>
      <c r="BK18" s="22"/>
      <c r="BL18" s="22">
        <v>61</v>
      </c>
    </row>
    <row r="19" spans="1:64" ht="15" customHeight="1">
      <c r="A19" s="43" t="s">
        <v>44</v>
      </c>
      <c r="B19" s="39" t="s">
        <v>221</v>
      </c>
      <c r="C19" s="39" t="s">
        <v>38</v>
      </c>
      <c r="D19" s="48" t="s">
        <v>138</v>
      </c>
      <c r="E19" s="48"/>
      <c r="F19" s="39" t="s">
        <v>309</v>
      </c>
      <c r="G19" s="22">
        <v>36.85</v>
      </c>
      <c r="H19" s="22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v>0.03491</v>
      </c>
      <c r="M19" s="22">
        <f t="shared" si="3"/>
        <v>1.2864335</v>
      </c>
      <c r="N19" s="35" t="s">
        <v>353</v>
      </c>
      <c r="Z19" s="22">
        <f t="shared" si="4"/>
        <v>0</v>
      </c>
      <c r="AB19" s="22">
        <f t="shared" si="5"/>
        <v>0</v>
      </c>
      <c r="AC19" s="22">
        <f t="shared" si="6"/>
        <v>0</v>
      </c>
      <c r="AD19" s="22">
        <f t="shared" si="7"/>
        <v>0</v>
      </c>
      <c r="AE19" s="22">
        <f t="shared" si="8"/>
        <v>0</v>
      </c>
      <c r="AF19" s="22">
        <f t="shared" si="9"/>
        <v>0</v>
      </c>
      <c r="AG19" s="22">
        <f t="shared" si="10"/>
        <v>0</v>
      </c>
      <c r="AH19" s="22">
        <f t="shared" si="11"/>
        <v>0</v>
      </c>
      <c r="AI19" s="18" t="s">
        <v>221</v>
      </c>
      <c r="AJ19" s="22">
        <f t="shared" si="12"/>
        <v>0</v>
      </c>
      <c r="AK19" s="22">
        <f t="shared" si="13"/>
        <v>0</v>
      </c>
      <c r="AL19" s="22">
        <f t="shared" si="14"/>
        <v>0</v>
      </c>
      <c r="AN19" s="22">
        <v>21</v>
      </c>
      <c r="AO19" s="22">
        <f>H19*0.311128922028028</f>
        <v>0</v>
      </c>
      <c r="AP19" s="22">
        <f>H19*(1-0.311128922028028)</f>
        <v>0</v>
      </c>
      <c r="AQ19" s="13" t="s">
        <v>313</v>
      </c>
      <c r="AV19" s="22">
        <f t="shared" si="15"/>
        <v>0</v>
      </c>
      <c r="AW19" s="22">
        <f t="shared" si="16"/>
        <v>0</v>
      </c>
      <c r="AX19" s="22">
        <f t="shared" si="17"/>
        <v>0</v>
      </c>
      <c r="AY19" s="13" t="s">
        <v>195</v>
      </c>
      <c r="AZ19" s="13" t="s">
        <v>37</v>
      </c>
      <c r="BA19" s="18" t="s">
        <v>241</v>
      </c>
      <c r="BC19" s="22">
        <f t="shared" si="18"/>
        <v>0</v>
      </c>
      <c r="BD19" s="22">
        <f t="shared" si="19"/>
        <v>0</v>
      </c>
      <c r="BE19" s="22">
        <v>0</v>
      </c>
      <c r="BF19" s="22">
        <f t="shared" si="20"/>
        <v>1.2864335</v>
      </c>
      <c r="BH19" s="22">
        <f t="shared" si="21"/>
        <v>0</v>
      </c>
      <c r="BI19" s="22">
        <f t="shared" si="22"/>
        <v>0</v>
      </c>
      <c r="BJ19" s="22">
        <f t="shared" si="23"/>
        <v>0</v>
      </c>
      <c r="BK19" s="22"/>
      <c r="BL19" s="22">
        <v>61</v>
      </c>
    </row>
    <row r="20" spans="1:64" ht="15" customHeight="1">
      <c r="A20" s="43" t="s">
        <v>316</v>
      </c>
      <c r="B20" s="39" t="s">
        <v>221</v>
      </c>
      <c r="C20" s="39" t="s">
        <v>217</v>
      </c>
      <c r="D20" s="48" t="s">
        <v>275</v>
      </c>
      <c r="E20" s="48"/>
      <c r="F20" s="39" t="s">
        <v>309</v>
      </c>
      <c r="G20" s="22">
        <v>68</v>
      </c>
      <c r="H20" s="22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v>4E-05</v>
      </c>
      <c r="M20" s="22">
        <f t="shared" si="3"/>
        <v>0.00272</v>
      </c>
      <c r="N20" s="35" t="s">
        <v>353</v>
      </c>
      <c r="Z20" s="22">
        <f t="shared" si="4"/>
        <v>0</v>
      </c>
      <c r="AB20" s="22">
        <f t="shared" si="5"/>
        <v>0</v>
      </c>
      <c r="AC20" s="22">
        <f t="shared" si="6"/>
        <v>0</v>
      </c>
      <c r="AD20" s="22">
        <f t="shared" si="7"/>
        <v>0</v>
      </c>
      <c r="AE20" s="22">
        <f t="shared" si="8"/>
        <v>0</v>
      </c>
      <c r="AF20" s="22">
        <f t="shared" si="9"/>
        <v>0</v>
      </c>
      <c r="AG20" s="22">
        <f t="shared" si="10"/>
        <v>0</v>
      </c>
      <c r="AH20" s="22">
        <f t="shared" si="11"/>
        <v>0</v>
      </c>
      <c r="AI20" s="18" t="s">
        <v>221</v>
      </c>
      <c r="AJ20" s="22">
        <f t="shared" si="12"/>
        <v>0</v>
      </c>
      <c r="AK20" s="22">
        <f t="shared" si="13"/>
        <v>0</v>
      </c>
      <c r="AL20" s="22">
        <f t="shared" si="14"/>
        <v>0</v>
      </c>
      <c r="AN20" s="22">
        <v>21</v>
      </c>
      <c r="AO20" s="22">
        <f>H20*0.321455223880597</f>
        <v>0</v>
      </c>
      <c r="AP20" s="22">
        <f>H20*(1-0.321455223880597)</f>
        <v>0</v>
      </c>
      <c r="AQ20" s="13" t="s">
        <v>313</v>
      </c>
      <c r="AV20" s="22">
        <f t="shared" si="15"/>
        <v>0</v>
      </c>
      <c r="AW20" s="22">
        <f t="shared" si="16"/>
        <v>0</v>
      </c>
      <c r="AX20" s="22">
        <f t="shared" si="17"/>
        <v>0</v>
      </c>
      <c r="AY20" s="13" t="s">
        <v>195</v>
      </c>
      <c r="AZ20" s="13" t="s">
        <v>37</v>
      </c>
      <c r="BA20" s="18" t="s">
        <v>241</v>
      </c>
      <c r="BC20" s="22">
        <f t="shared" si="18"/>
        <v>0</v>
      </c>
      <c r="BD20" s="22">
        <f t="shared" si="19"/>
        <v>0</v>
      </c>
      <c r="BE20" s="22">
        <v>0</v>
      </c>
      <c r="BF20" s="22">
        <f t="shared" si="20"/>
        <v>0.00272</v>
      </c>
      <c r="BH20" s="22">
        <f t="shared" si="21"/>
        <v>0</v>
      </c>
      <c r="BI20" s="22">
        <f t="shared" si="22"/>
        <v>0</v>
      </c>
      <c r="BJ20" s="22">
        <f t="shared" si="23"/>
        <v>0</v>
      </c>
      <c r="BK20" s="22"/>
      <c r="BL20" s="22">
        <v>61</v>
      </c>
    </row>
    <row r="21" spans="1:64" ht="15" customHeight="1">
      <c r="A21" s="43" t="s">
        <v>251</v>
      </c>
      <c r="B21" s="39" t="s">
        <v>221</v>
      </c>
      <c r="C21" s="39" t="s">
        <v>91</v>
      </c>
      <c r="D21" s="48" t="s">
        <v>113</v>
      </c>
      <c r="E21" s="48"/>
      <c r="F21" s="39" t="s">
        <v>309</v>
      </c>
      <c r="G21" s="22">
        <v>107.05</v>
      </c>
      <c r="H21" s="22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v>0.00049</v>
      </c>
      <c r="M21" s="22">
        <f t="shared" si="3"/>
        <v>0.052454499999999994</v>
      </c>
      <c r="N21" s="35" t="s">
        <v>353</v>
      </c>
      <c r="Z21" s="22">
        <f t="shared" si="4"/>
        <v>0</v>
      </c>
      <c r="AB21" s="22">
        <f t="shared" si="5"/>
        <v>0</v>
      </c>
      <c r="AC21" s="22">
        <f t="shared" si="6"/>
        <v>0</v>
      </c>
      <c r="AD21" s="22">
        <f t="shared" si="7"/>
        <v>0</v>
      </c>
      <c r="AE21" s="22">
        <f t="shared" si="8"/>
        <v>0</v>
      </c>
      <c r="AF21" s="22">
        <f t="shared" si="9"/>
        <v>0</v>
      </c>
      <c r="AG21" s="22">
        <f t="shared" si="10"/>
        <v>0</v>
      </c>
      <c r="AH21" s="22">
        <f t="shared" si="11"/>
        <v>0</v>
      </c>
      <c r="AI21" s="18" t="s">
        <v>221</v>
      </c>
      <c r="AJ21" s="22">
        <f t="shared" si="12"/>
        <v>0</v>
      </c>
      <c r="AK21" s="22">
        <f t="shared" si="13"/>
        <v>0</v>
      </c>
      <c r="AL21" s="22">
        <f t="shared" si="14"/>
        <v>0</v>
      </c>
      <c r="AN21" s="22">
        <v>21</v>
      </c>
      <c r="AO21" s="22">
        <f>H21*0.290388287200933</f>
        <v>0</v>
      </c>
      <c r="AP21" s="22">
        <f>H21*(1-0.290388287200933)</f>
        <v>0</v>
      </c>
      <c r="AQ21" s="13" t="s">
        <v>313</v>
      </c>
      <c r="AV21" s="22">
        <f t="shared" si="15"/>
        <v>0</v>
      </c>
      <c r="AW21" s="22">
        <f t="shared" si="16"/>
        <v>0</v>
      </c>
      <c r="AX21" s="22">
        <f t="shared" si="17"/>
        <v>0</v>
      </c>
      <c r="AY21" s="13" t="s">
        <v>195</v>
      </c>
      <c r="AZ21" s="13" t="s">
        <v>37</v>
      </c>
      <c r="BA21" s="18" t="s">
        <v>241</v>
      </c>
      <c r="BC21" s="22">
        <f t="shared" si="18"/>
        <v>0</v>
      </c>
      <c r="BD21" s="22">
        <f t="shared" si="19"/>
        <v>0</v>
      </c>
      <c r="BE21" s="22">
        <v>0</v>
      </c>
      <c r="BF21" s="22">
        <f t="shared" si="20"/>
        <v>0.052454499999999994</v>
      </c>
      <c r="BH21" s="22">
        <f t="shared" si="21"/>
        <v>0</v>
      </c>
      <c r="BI21" s="22">
        <f t="shared" si="22"/>
        <v>0</v>
      </c>
      <c r="BJ21" s="22">
        <f t="shared" si="23"/>
        <v>0</v>
      </c>
      <c r="BK21" s="22"/>
      <c r="BL21" s="22">
        <v>61</v>
      </c>
    </row>
    <row r="22" spans="1:64" ht="15" customHeight="1">
      <c r="A22" s="43" t="s">
        <v>112</v>
      </c>
      <c r="B22" s="39" t="s">
        <v>221</v>
      </c>
      <c r="C22" s="39" t="s">
        <v>111</v>
      </c>
      <c r="D22" s="48" t="s">
        <v>292</v>
      </c>
      <c r="E22" s="48"/>
      <c r="F22" s="39" t="s">
        <v>309</v>
      </c>
      <c r="G22" s="22">
        <v>107.05</v>
      </c>
      <c r="H22" s="22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v>3E-05</v>
      </c>
      <c r="M22" s="22">
        <f t="shared" si="3"/>
        <v>0.0032115</v>
      </c>
      <c r="N22" s="35" t="s">
        <v>353</v>
      </c>
      <c r="Z22" s="22">
        <f t="shared" si="4"/>
        <v>0</v>
      </c>
      <c r="AB22" s="22">
        <f t="shared" si="5"/>
        <v>0</v>
      </c>
      <c r="AC22" s="22">
        <f t="shared" si="6"/>
        <v>0</v>
      </c>
      <c r="AD22" s="22">
        <f t="shared" si="7"/>
        <v>0</v>
      </c>
      <c r="AE22" s="22">
        <f t="shared" si="8"/>
        <v>0</v>
      </c>
      <c r="AF22" s="22">
        <f t="shared" si="9"/>
        <v>0</v>
      </c>
      <c r="AG22" s="22">
        <f t="shared" si="10"/>
        <v>0</v>
      </c>
      <c r="AH22" s="22">
        <f t="shared" si="11"/>
        <v>0</v>
      </c>
      <c r="AI22" s="18" t="s">
        <v>221</v>
      </c>
      <c r="AJ22" s="22">
        <f t="shared" si="12"/>
        <v>0</v>
      </c>
      <c r="AK22" s="22">
        <f t="shared" si="13"/>
        <v>0</v>
      </c>
      <c r="AL22" s="22">
        <f t="shared" si="14"/>
        <v>0</v>
      </c>
      <c r="AN22" s="22">
        <v>21</v>
      </c>
      <c r="AO22" s="22">
        <f>H22*0.148076923076923</f>
        <v>0</v>
      </c>
      <c r="AP22" s="22">
        <f>H22*(1-0.148076923076923)</f>
        <v>0</v>
      </c>
      <c r="AQ22" s="13" t="s">
        <v>313</v>
      </c>
      <c r="AV22" s="22">
        <f t="shared" si="15"/>
        <v>0</v>
      </c>
      <c r="AW22" s="22">
        <f t="shared" si="16"/>
        <v>0</v>
      </c>
      <c r="AX22" s="22">
        <f t="shared" si="17"/>
        <v>0</v>
      </c>
      <c r="AY22" s="13" t="s">
        <v>195</v>
      </c>
      <c r="AZ22" s="13" t="s">
        <v>37</v>
      </c>
      <c r="BA22" s="18" t="s">
        <v>241</v>
      </c>
      <c r="BC22" s="22">
        <f t="shared" si="18"/>
        <v>0</v>
      </c>
      <c r="BD22" s="22">
        <f t="shared" si="19"/>
        <v>0</v>
      </c>
      <c r="BE22" s="22">
        <v>0</v>
      </c>
      <c r="BF22" s="22">
        <f t="shared" si="20"/>
        <v>0.0032115</v>
      </c>
      <c r="BH22" s="22">
        <f t="shared" si="21"/>
        <v>0</v>
      </c>
      <c r="BI22" s="22">
        <f t="shared" si="22"/>
        <v>0</v>
      </c>
      <c r="BJ22" s="22">
        <f t="shared" si="23"/>
        <v>0</v>
      </c>
      <c r="BK22" s="22"/>
      <c r="BL22" s="22">
        <v>61</v>
      </c>
    </row>
    <row r="23" spans="1:47" ht="15" customHeight="1">
      <c r="A23" s="33" t="s">
        <v>221</v>
      </c>
      <c r="B23" s="41" t="s">
        <v>221</v>
      </c>
      <c r="C23" s="41" t="s">
        <v>156</v>
      </c>
      <c r="D23" s="65" t="s">
        <v>325</v>
      </c>
      <c r="E23" s="65"/>
      <c r="F23" s="28" t="s">
        <v>294</v>
      </c>
      <c r="G23" s="28" t="s">
        <v>294</v>
      </c>
      <c r="H23" s="28" t="s">
        <v>294</v>
      </c>
      <c r="I23" s="26">
        <f>SUM(I24:I26)</f>
        <v>0</v>
      </c>
      <c r="J23" s="26">
        <f>SUM(J24:J26)</f>
        <v>0</v>
      </c>
      <c r="K23" s="26">
        <f>SUM(K24:K26)</f>
        <v>0</v>
      </c>
      <c r="L23" s="18" t="s">
        <v>221</v>
      </c>
      <c r="M23" s="26">
        <f>SUM(M24:M26)</f>
        <v>0.9319</v>
      </c>
      <c r="N23" s="34" t="s">
        <v>221</v>
      </c>
      <c r="AI23" s="18" t="s">
        <v>221</v>
      </c>
      <c r="AS23" s="26">
        <f>SUM(AJ24:AJ26)</f>
        <v>0</v>
      </c>
      <c r="AT23" s="26">
        <f>SUM(AK24:AK26)</f>
        <v>0</v>
      </c>
      <c r="AU23" s="26">
        <f>SUM(AL24:AL26)</f>
        <v>0</v>
      </c>
    </row>
    <row r="24" spans="1:64" ht="15" customHeight="1">
      <c r="A24" s="43" t="s">
        <v>177</v>
      </c>
      <c r="B24" s="39" t="s">
        <v>221</v>
      </c>
      <c r="C24" s="39" t="s">
        <v>227</v>
      </c>
      <c r="D24" s="48" t="s">
        <v>260</v>
      </c>
      <c r="E24" s="48"/>
      <c r="F24" s="39" t="s">
        <v>68</v>
      </c>
      <c r="G24" s="22">
        <v>14</v>
      </c>
      <c r="H24" s="22">
        <v>0</v>
      </c>
      <c r="I24" s="22">
        <f>G24*AO24</f>
        <v>0</v>
      </c>
      <c r="J24" s="22">
        <f>G24*AP24</f>
        <v>0</v>
      </c>
      <c r="K24" s="22">
        <f>G24*H24</f>
        <v>0</v>
      </c>
      <c r="L24" s="22">
        <v>0.03177</v>
      </c>
      <c r="M24" s="22">
        <f>G24*L24</f>
        <v>0.44478</v>
      </c>
      <c r="N24" s="35" t="s">
        <v>353</v>
      </c>
      <c r="Z24" s="22">
        <f>IF(AQ24="5",BJ24,0)</f>
        <v>0</v>
      </c>
      <c r="AB24" s="22">
        <f>IF(AQ24="1",BH24,0)</f>
        <v>0</v>
      </c>
      <c r="AC24" s="22">
        <f>IF(AQ24="1",BI24,0)</f>
        <v>0</v>
      </c>
      <c r="AD24" s="22">
        <f>IF(AQ24="7",BH24,0)</f>
        <v>0</v>
      </c>
      <c r="AE24" s="22">
        <f>IF(AQ24="7",BI24,0)</f>
        <v>0</v>
      </c>
      <c r="AF24" s="22">
        <f>IF(AQ24="2",BH24,0)</f>
        <v>0</v>
      </c>
      <c r="AG24" s="22">
        <f>IF(AQ24="2",BI24,0)</f>
        <v>0</v>
      </c>
      <c r="AH24" s="22">
        <f>IF(AQ24="0",BJ24,0)</f>
        <v>0</v>
      </c>
      <c r="AI24" s="18" t="s">
        <v>221</v>
      </c>
      <c r="AJ24" s="22">
        <f>IF(AN24=0,K24,0)</f>
        <v>0</v>
      </c>
      <c r="AK24" s="22">
        <f>IF(AN24=15,K24,0)</f>
        <v>0</v>
      </c>
      <c r="AL24" s="22">
        <f>IF(AN24=21,K24,0)</f>
        <v>0</v>
      </c>
      <c r="AN24" s="22">
        <v>21</v>
      </c>
      <c r="AO24" s="22">
        <f>H24*0.76179607185553</f>
        <v>0</v>
      </c>
      <c r="AP24" s="22">
        <f>H24*(1-0.76179607185553)</f>
        <v>0</v>
      </c>
      <c r="AQ24" s="13" t="s">
        <v>313</v>
      </c>
      <c r="AV24" s="22">
        <f>AW24+AX24</f>
        <v>0</v>
      </c>
      <c r="AW24" s="22">
        <f>G24*AO24</f>
        <v>0</v>
      </c>
      <c r="AX24" s="22">
        <f>G24*AP24</f>
        <v>0</v>
      </c>
      <c r="AY24" s="13" t="s">
        <v>215</v>
      </c>
      <c r="AZ24" s="13" t="s">
        <v>37</v>
      </c>
      <c r="BA24" s="18" t="s">
        <v>241</v>
      </c>
      <c r="BC24" s="22">
        <f>AW24+AX24</f>
        <v>0</v>
      </c>
      <c r="BD24" s="22">
        <f>H24/(100-BE24)*100</f>
        <v>0</v>
      </c>
      <c r="BE24" s="22">
        <v>0</v>
      </c>
      <c r="BF24" s="22">
        <f>M24</f>
        <v>0.44478</v>
      </c>
      <c r="BH24" s="22">
        <f>G24*AO24</f>
        <v>0</v>
      </c>
      <c r="BI24" s="22">
        <f>G24*AP24</f>
        <v>0</v>
      </c>
      <c r="BJ24" s="22">
        <f>G24*H24</f>
        <v>0</v>
      </c>
      <c r="BK24" s="22"/>
      <c r="BL24" s="22">
        <v>64</v>
      </c>
    </row>
    <row r="25" spans="1:64" ht="15" customHeight="1">
      <c r="A25" s="43" t="s">
        <v>265</v>
      </c>
      <c r="B25" s="39" t="s">
        <v>221</v>
      </c>
      <c r="C25" s="39" t="s">
        <v>289</v>
      </c>
      <c r="D25" s="48" t="s">
        <v>213</v>
      </c>
      <c r="E25" s="48"/>
      <c r="F25" s="39" t="s">
        <v>68</v>
      </c>
      <c r="G25" s="22">
        <v>4</v>
      </c>
      <c r="H25" s="22">
        <v>0</v>
      </c>
      <c r="I25" s="22">
        <f>G25*AO25</f>
        <v>0</v>
      </c>
      <c r="J25" s="22">
        <f>G25*AP25</f>
        <v>0</v>
      </c>
      <c r="K25" s="22">
        <f>G25*H25</f>
        <v>0</v>
      </c>
      <c r="L25" s="22">
        <v>0.03307</v>
      </c>
      <c r="M25" s="22">
        <f>G25*L25</f>
        <v>0.13228</v>
      </c>
      <c r="N25" s="35" t="s">
        <v>353</v>
      </c>
      <c r="Z25" s="22">
        <f>IF(AQ25="5",BJ25,0)</f>
        <v>0</v>
      </c>
      <c r="AB25" s="22">
        <f>IF(AQ25="1",BH25,0)</f>
        <v>0</v>
      </c>
      <c r="AC25" s="22">
        <f>IF(AQ25="1",BI25,0)</f>
        <v>0</v>
      </c>
      <c r="AD25" s="22">
        <f>IF(AQ25="7",BH25,0)</f>
        <v>0</v>
      </c>
      <c r="AE25" s="22">
        <f>IF(AQ25="7",BI25,0)</f>
        <v>0</v>
      </c>
      <c r="AF25" s="22">
        <f>IF(AQ25="2",BH25,0)</f>
        <v>0</v>
      </c>
      <c r="AG25" s="22">
        <f>IF(AQ25="2",BI25,0)</f>
        <v>0</v>
      </c>
      <c r="AH25" s="22">
        <f>IF(AQ25="0",BJ25,0)</f>
        <v>0</v>
      </c>
      <c r="AI25" s="18" t="s">
        <v>221</v>
      </c>
      <c r="AJ25" s="22">
        <f>IF(AN25=0,K25,0)</f>
        <v>0</v>
      </c>
      <c r="AK25" s="22">
        <f>IF(AN25=15,K25,0)</f>
        <v>0</v>
      </c>
      <c r="AL25" s="22">
        <f>IF(AN25=21,K25,0)</f>
        <v>0</v>
      </c>
      <c r="AN25" s="22">
        <v>21</v>
      </c>
      <c r="AO25" s="22">
        <f>H25*0.776724034130682</f>
        <v>0</v>
      </c>
      <c r="AP25" s="22">
        <f>H25*(1-0.776724034130682)</f>
        <v>0</v>
      </c>
      <c r="AQ25" s="13" t="s">
        <v>313</v>
      </c>
      <c r="AV25" s="22">
        <f>AW25+AX25</f>
        <v>0</v>
      </c>
      <c r="AW25" s="22">
        <f>G25*AO25</f>
        <v>0</v>
      </c>
      <c r="AX25" s="22">
        <f>G25*AP25</f>
        <v>0</v>
      </c>
      <c r="AY25" s="13" t="s">
        <v>215</v>
      </c>
      <c r="AZ25" s="13" t="s">
        <v>37</v>
      </c>
      <c r="BA25" s="18" t="s">
        <v>241</v>
      </c>
      <c r="BC25" s="22">
        <f>AW25+AX25</f>
        <v>0</v>
      </c>
      <c r="BD25" s="22">
        <f>H25/(100-BE25)*100</f>
        <v>0</v>
      </c>
      <c r="BE25" s="22">
        <v>0</v>
      </c>
      <c r="BF25" s="22">
        <f>M25</f>
        <v>0.13228</v>
      </c>
      <c r="BH25" s="22">
        <f>G25*AO25</f>
        <v>0</v>
      </c>
      <c r="BI25" s="22">
        <f>G25*AP25</f>
        <v>0</v>
      </c>
      <c r="BJ25" s="22">
        <f>G25*H25</f>
        <v>0</v>
      </c>
      <c r="BK25" s="22"/>
      <c r="BL25" s="22">
        <v>64</v>
      </c>
    </row>
    <row r="26" spans="1:64" ht="15" customHeight="1">
      <c r="A26" s="43" t="s">
        <v>233</v>
      </c>
      <c r="B26" s="39" t="s">
        <v>221</v>
      </c>
      <c r="C26" s="39" t="s">
        <v>10</v>
      </c>
      <c r="D26" s="48" t="s">
        <v>144</v>
      </c>
      <c r="E26" s="48"/>
      <c r="F26" s="39" t="s">
        <v>68</v>
      </c>
      <c r="G26" s="22">
        <v>12</v>
      </c>
      <c r="H26" s="22">
        <v>0</v>
      </c>
      <c r="I26" s="22">
        <f>G26*AO26</f>
        <v>0</v>
      </c>
      <c r="J26" s="22">
        <f>G26*AP26</f>
        <v>0</v>
      </c>
      <c r="K26" s="22">
        <f>G26*H26</f>
        <v>0</v>
      </c>
      <c r="L26" s="22">
        <v>0.02957</v>
      </c>
      <c r="M26" s="22">
        <f>G26*L26</f>
        <v>0.35484</v>
      </c>
      <c r="N26" s="35" t="s">
        <v>353</v>
      </c>
      <c r="Z26" s="22">
        <f>IF(AQ26="5",BJ26,0)</f>
        <v>0</v>
      </c>
      <c r="AB26" s="22">
        <f>IF(AQ26="1",BH26,0)</f>
        <v>0</v>
      </c>
      <c r="AC26" s="22">
        <f>IF(AQ26="1",BI26,0)</f>
        <v>0</v>
      </c>
      <c r="AD26" s="22">
        <f>IF(AQ26="7",BH26,0)</f>
        <v>0</v>
      </c>
      <c r="AE26" s="22">
        <f>IF(AQ26="7",BI26,0)</f>
        <v>0</v>
      </c>
      <c r="AF26" s="22">
        <f>IF(AQ26="2",BH26,0)</f>
        <v>0</v>
      </c>
      <c r="AG26" s="22">
        <f>IF(AQ26="2",BI26,0)</f>
        <v>0</v>
      </c>
      <c r="AH26" s="22">
        <f>IF(AQ26="0",BJ26,0)</f>
        <v>0</v>
      </c>
      <c r="AI26" s="18" t="s">
        <v>221</v>
      </c>
      <c r="AJ26" s="22">
        <f>IF(AN26=0,K26,0)</f>
        <v>0</v>
      </c>
      <c r="AK26" s="22">
        <f>IF(AN26=15,K26,0)</f>
        <v>0</v>
      </c>
      <c r="AL26" s="22">
        <f>IF(AN26=21,K26,0)</f>
        <v>0</v>
      </c>
      <c r="AN26" s="22">
        <v>21</v>
      </c>
      <c r="AO26" s="22">
        <f>H26*0.784906633675702</f>
        <v>0</v>
      </c>
      <c r="AP26" s="22">
        <f>H26*(1-0.784906633675702)</f>
        <v>0</v>
      </c>
      <c r="AQ26" s="13" t="s">
        <v>313</v>
      </c>
      <c r="AV26" s="22">
        <f>AW26+AX26</f>
        <v>0</v>
      </c>
      <c r="AW26" s="22">
        <f>G26*AO26</f>
        <v>0</v>
      </c>
      <c r="AX26" s="22">
        <f>G26*AP26</f>
        <v>0</v>
      </c>
      <c r="AY26" s="13" t="s">
        <v>215</v>
      </c>
      <c r="AZ26" s="13" t="s">
        <v>37</v>
      </c>
      <c r="BA26" s="18" t="s">
        <v>241</v>
      </c>
      <c r="BC26" s="22">
        <f>AW26+AX26</f>
        <v>0</v>
      </c>
      <c r="BD26" s="22">
        <f>H26/(100-BE26)*100</f>
        <v>0</v>
      </c>
      <c r="BE26" s="22">
        <v>0</v>
      </c>
      <c r="BF26" s="22">
        <f>M26</f>
        <v>0.35484</v>
      </c>
      <c r="BH26" s="22">
        <f>G26*AO26</f>
        <v>0</v>
      </c>
      <c r="BI26" s="22">
        <f>G26*AP26</f>
        <v>0</v>
      </c>
      <c r="BJ26" s="22">
        <f>G26*H26</f>
        <v>0</v>
      </c>
      <c r="BK26" s="22"/>
      <c r="BL26" s="22">
        <v>64</v>
      </c>
    </row>
    <row r="27" spans="1:47" ht="15" customHeight="1">
      <c r="A27" s="33" t="s">
        <v>221</v>
      </c>
      <c r="B27" s="41" t="s">
        <v>221</v>
      </c>
      <c r="C27" s="41" t="s">
        <v>14</v>
      </c>
      <c r="D27" s="65" t="s">
        <v>350</v>
      </c>
      <c r="E27" s="65"/>
      <c r="F27" s="28" t="s">
        <v>294</v>
      </c>
      <c r="G27" s="28" t="s">
        <v>294</v>
      </c>
      <c r="H27" s="28" t="s">
        <v>294</v>
      </c>
      <c r="I27" s="26">
        <f>SUM(I28:I28)</f>
        <v>0</v>
      </c>
      <c r="J27" s="26">
        <f>SUM(J28:J28)</f>
        <v>0</v>
      </c>
      <c r="K27" s="26">
        <f>SUM(K28:K28)</f>
        <v>0</v>
      </c>
      <c r="L27" s="18" t="s">
        <v>221</v>
      </c>
      <c r="M27" s="26">
        <f>SUM(M28:M28)</f>
        <v>0.01655</v>
      </c>
      <c r="N27" s="34" t="s">
        <v>221</v>
      </c>
      <c r="AI27" s="18" t="s">
        <v>221</v>
      </c>
      <c r="AS27" s="26">
        <f>SUM(AJ28:AJ28)</f>
        <v>0</v>
      </c>
      <c r="AT27" s="26">
        <f>SUM(AK28:AK28)</f>
        <v>0</v>
      </c>
      <c r="AU27" s="26">
        <f>SUM(AL28:AL28)</f>
        <v>0</v>
      </c>
    </row>
    <row r="28" spans="1:64" ht="15" customHeight="1">
      <c r="A28" s="43" t="s">
        <v>82</v>
      </c>
      <c r="B28" s="39" t="s">
        <v>221</v>
      </c>
      <c r="C28" s="39" t="s">
        <v>46</v>
      </c>
      <c r="D28" s="48" t="s">
        <v>104</v>
      </c>
      <c r="E28" s="48"/>
      <c r="F28" s="39" t="s">
        <v>309</v>
      </c>
      <c r="G28" s="22">
        <v>5</v>
      </c>
      <c r="H28" s="22">
        <v>0</v>
      </c>
      <c r="I28" s="22">
        <f>G28*AO28</f>
        <v>0</v>
      </c>
      <c r="J28" s="22">
        <f>G28*AP28</f>
        <v>0</v>
      </c>
      <c r="K28" s="22">
        <f>G28*H28</f>
        <v>0</v>
      </c>
      <c r="L28" s="22">
        <v>0.00331</v>
      </c>
      <c r="M28" s="22">
        <f>G28*L28</f>
        <v>0.01655</v>
      </c>
      <c r="N28" s="35" t="s">
        <v>353</v>
      </c>
      <c r="Z28" s="22">
        <f>IF(AQ28="5",BJ28,0)</f>
        <v>0</v>
      </c>
      <c r="AB28" s="22">
        <f>IF(AQ28="1",BH28,0)</f>
        <v>0</v>
      </c>
      <c r="AC28" s="22">
        <f>IF(AQ28="1",BI28,0)</f>
        <v>0</v>
      </c>
      <c r="AD28" s="22">
        <f>IF(AQ28="7",BH28,0)</f>
        <v>0</v>
      </c>
      <c r="AE28" s="22">
        <f>IF(AQ28="7",BI28,0)</f>
        <v>0</v>
      </c>
      <c r="AF28" s="22">
        <f>IF(AQ28="2",BH28,0)</f>
        <v>0</v>
      </c>
      <c r="AG28" s="22">
        <f>IF(AQ28="2",BI28,0)</f>
        <v>0</v>
      </c>
      <c r="AH28" s="22">
        <f>IF(AQ28="0",BJ28,0)</f>
        <v>0</v>
      </c>
      <c r="AI28" s="18" t="s">
        <v>221</v>
      </c>
      <c r="AJ28" s="22">
        <f>IF(AN28=0,K28,0)</f>
        <v>0</v>
      </c>
      <c r="AK28" s="22">
        <f>IF(AN28=15,K28,0)</f>
        <v>0</v>
      </c>
      <c r="AL28" s="22">
        <f>IF(AN28=21,K28,0)</f>
        <v>0</v>
      </c>
      <c r="AN28" s="22">
        <v>21</v>
      </c>
      <c r="AO28" s="22">
        <f>H28*0.578937908496732</f>
        <v>0</v>
      </c>
      <c r="AP28" s="22">
        <f>H28*(1-0.578937908496732)</f>
        <v>0</v>
      </c>
      <c r="AQ28" s="13" t="s">
        <v>316</v>
      </c>
      <c r="AV28" s="22">
        <f>AW28+AX28</f>
        <v>0</v>
      </c>
      <c r="AW28" s="22">
        <f>G28*AO28</f>
        <v>0</v>
      </c>
      <c r="AX28" s="22">
        <f>G28*AP28</f>
        <v>0</v>
      </c>
      <c r="AY28" s="13" t="s">
        <v>274</v>
      </c>
      <c r="AZ28" s="13" t="s">
        <v>261</v>
      </c>
      <c r="BA28" s="18" t="s">
        <v>241</v>
      </c>
      <c r="BC28" s="22">
        <f>AW28+AX28</f>
        <v>0</v>
      </c>
      <c r="BD28" s="22">
        <f>H28/(100-BE28)*100</f>
        <v>0</v>
      </c>
      <c r="BE28" s="22">
        <v>0</v>
      </c>
      <c r="BF28" s="22">
        <f>M28</f>
        <v>0.01655</v>
      </c>
      <c r="BH28" s="22">
        <f>G28*AO28</f>
        <v>0</v>
      </c>
      <c r="BI28" s="22">
        <f>G28*AP28</f>
        <v>0</v>
      </c>
      <c r="BJ28" s="22">
        <f>G28*H28</f>
        <v>0</v>
      </c>
      <c r="BK28" s="22"/>
      <c r="BL28" s="22">
        <v>711</v>
      </c>
    </row>
    <row r="29" spans="1:47" ht="15" customHeight="1">
      <c r="A29" s="33" t="s">
        <v>221</v>
      </c>
      <c r="B29" s="41" t="s">
        <v>221</v>
      </c>
      <c r="C29" s="41" t="s">
        <v>203</v>
      </c>
      <c r="D29" s="65" t="s">
        <v>352</v>
      </c>
      <c r="E29" s="65"/>
      <c r="F29" s="28" t="s">
        <v>294</v>
      </c>
      <c r="G29" s="28" t="s">
        <v>294</v>
      </c>
      <c r="H29" s="28" t="s">
        <v>294</v>
      </c>
      <c r="I29" s="26">
        <f>SUM(I30:I31)</f>
        <v>0</v>
      </c>
      <c r="J29" s="26">
        <f>SUM(J30:J31)</f>
        <v>0</v>
      </c>
      <c r="K29" s="26">
        <f>SUM(K30:K31)</f>
        <v>0</v>
      </c>
      <c r="L29" s="18" t="s">
        <v>221</v>
      </c>
      <c r="M29" s="26">
        <f>SUM(M30:M31)</f>
        <v>0.16637</v>
      </c>
      <c r="N29" s="34" t="s">
        <v>221</v>
      </c>
      <c r="AI29" s="18" t="s">
        <v>221</v>
      </c>
      <c r="AS29" s="26">
        <f>SUM(AJ30:AJ31)</f>
        <v>0</v>
      </c>
      <c r="AT29" s="26">
        <f>SUM(AK30:AK31)</f>
        <v>0</v>
      </c>
      <c r="AU29" s="26">
        <f>SUM(AL30:AL31)</f>
        <v>0</v>
      </c>
    </row>
    <row r="30" spans="1:64" ht="15" customHeight="1">
      <c r="A30" s="43" t="s">
        <v>181</v>
      </c>
      <c r="B30" s="39" t="s">
        <v>221</v>
      </c>
      <c r="C30" s="39" t="s">
        <v>124</v>
      </c>
      <c r="D30" s="48" t="s">
        <v>50</v>
      </c>
      <c r="E30" s="48"/>
      <c r="F30" s="39" t="s">
        <v>263</v>
      </c>
      <c r="G30" s="22">
        <v>2</v>
      </c>
      <c r="H30" s="22">
        <v>0</v>
      </c>
      <c r="I30" s="22">
        <f>G30*AO30</f>
        <v>0</v>
      </c>
      <c r="J30" s="22">
        <f>G30*AP30</f>
        <v>0</v>
      </c>
      <c r="K30" s="22">
        <f>G30*H30</f>
        <v>0</v>
      </c>
      <c r="L30" s="22">
        <v>0.00047</v>
      </c>
      <c r="M30" s="22">
        <f>G30*L30</f>
        <v>0.00094</v>
      </c>
      <c r="N30" s="35" t="s">
        <v>353</v>
      </c>
      <c r="Z30" s="22">
        <f>IF(AQ30="5",BJ30,0)</f>
        <v>0</v>
      </c>
      <c r="AB30" s="22">
        <f>IF(AQ30="1",BH30,0)</f>
        <v>0</v>
      </c>
      <c r="AC30" s="22">
        <f>IF(AQ30="1",BI30,0)</f>
        <v>0</v>
      </c>
      <c r="AD30" s="22">
        <f>IF(AQ30="7",BH30,0)</f>
        <v>0</v>
      </c>
      <c r="AE30" s="22">
        <f>IF(AQ30="7",BI30,0)</f>
        <v>0</v>
      </c>
      <c r="AF30" s="22">
        <f>IF(AQ30="2",BH30,0)</f>
        <v>0</v>
      </c>
      <c r="AG30" s="22">
        <f>IF(AQ30="2",BI30,0)</f>
        <v>0</v>
      </c>
      <c r="AH30" s="22">
        <f>IF(AQ30="0",BJ30,0)</f>
        <v>0</v>
      </c>
      <c r="AI30" s="18" t="s">
        <v>221</v>
      </c>
      <c r="AJ30" s="22">
        <f>IF(AN30=0,K30,0)</f>
        <v>0</v>
      </c>
      <c r="AK30" s="22">
        <f>IF(AN30=15,K30,0)</f>
        <v>0</v>
      </c>
      <c r="AL30" s="22">
        <f>IF(AN30=21,K30,0)</f>
        <v>0</v>
      </c>
      <c r="AN30" s="22">
        <v>21</v>
      </c>
      <c r="AO30" s="22">
        <f>H30*0.403952380952381</f>
        <v>0</v>
      </c>
      <c r="AP30" s="22">
        <f>H30*(1-0.403952380952381)</f>
        <v>0</v>
      </c>
      <c r="AQ30" s="13" t="s">
        <v>316</v>
      </c>
      <c r="AV30" s="22">
        <f>AW30+AX30</f>
        <v>0</v>
      </c>
      <c r="AW30" s="22">
        <f>G30*AO30</f>
        <v>0</v>
      </c>
      <c r="AX30" s="22">
        <f>G30*AP30</f>
        <v>0</v>
      </c>
      <c r="AY30" s="13" t="s">
        <v>42</v>
      </c>
      <c r="AZ30" s="13" t="s">
        <v>15</v>
      </c>
      <c r="BA30" s="18" t="s">
        <v>241</v>
      </c>
      <c r="BC30" s="22">
        <f>AW30+AX30</f>
        <v>0</v>
      </c>
      <c r="BD30" s="22">
        <f>H30/(100-BE30)*100</f>
        <v>0</v>
      </c>
      <c r="BE30" s="22">
        <v>0</v>
      </c>
      <c r="BF30" s="22">
        <f>M30</f>
        <v>0.00094</v>
      </c>
      <c r="BH30" s="22">
        <f>G30*AO30</f>
        <v>0</v>
      </c>
      <c r="BI30" s="22">
        <f>G30*AP30</f>
        <v>0</v>
      </c>
      <c r="BJ30" s="22">
        <f>G30*H30</f>
        <v>0</v>
      </c>
      <c r="BK30" s="22"/>
      <c r="BL30" s="22">
        <v>721</v>
      </c>
    </row>
    <row r="31" spans="1:64" ht="15" customHeight="1">
      <c r="A31" s="43" t="s">
        <v>116</v>
      </c>
      <c r="B31" s="39" t="s">
        <v>221</v>
      </c>
      <c r="C31" s="39" t="s">
        <v>128</v>
      </c>
      <c r="D31" s="48" t="s">
        <v>349</v>
      </c>
      <c r="E31" s="48"/>
      <c r="F31" s="39" t="s">
        <v>68</v>
      </c>
      <c r="G31" s="22">
        <v>1</v>
      </c>
      <c r="H31" s="22">
        <v>0</v>
      </c>
      <c r="I31" s="22">
        <f>G31*AO31</f>
        <v>0</v>
      </c>
      <c r="J31" s="22">
        <f>G31*AP31</f>
        <v>0</v>
      </c>
      <c r="K31" s="22">
        <f>G31*H31</f>
        <v>0</v>
      </c>
      <c r="L31" s="22">
        <v>0.16543</v>
      </c>
      <c r="M31" s="22">
        <f>G31*L31</f>
        <v>0.16543</v>
      </c>
      <c r="N31" s="35" t="s">
        <v>353</v>
      </c>
      <c r="Z31" s="22">
        <f>IF(AQ31="5",BJ31,0)</f>
        <v>0</v>
      </c>
      <c r="AB31" s="22">
        <f>IF(AQ31="1",BH31,0)</f>
        <v>0</v>
      </c>
      <c r="AC31" s="22">
        <f>IF(AQ31="1",BI31,0)</f>
        <v>0</v>
      </c>
      <c r="AD31" s="22">
        <f>IF(AQ31="7",BH31,0)</f>
        <v>0</v>
      </c>
      <c r="AE31" s="22">
        <f>IF(AQ31="7",BI31,0)</f>
        <v>0</v>
      </c>
      <c r="AF31" s="22">
        <f>IF(AQ31="2",BH31,0)</f>
        <v>0</v>
      </c>
      <c r="AG31" s="22">
        <f>IF(AQ31="2",BI31,0)</f>
        <v>0</v>
      </c>
      <c r="AH31" s="22">
        <f>IF(AQ31="0",BJ31,0)</f>
        <v>0</v>
      </c>
      <c r="AI31" s="18" t="s">
        <v>221</v>
      </c>
      <c r="AJ31" s="22">
        <f>IF(AN31=0,K31,0)</f>
        <v>0</v>
      </c>
      <c r="AK31" s="22">
        <f>IF(AN31=15,K31,0)</f>
        <v>0</v>
      </c>
      <c r="AL31" s="22">
        <f>IF(AN31=21,K31,0)</f>
        <v>0</v>
      </c>
      <c r="AN31" s="22">
        <v>21</v>
      </c>
      <c r="AO31" s="22">
        <f>H31*0.879872881355932</f>
        <v>0</v>
      </c>
      <c r="AP31" s="22">
        <f>H31*(1-0.879872881355932)</f>
        <v>0</v>
      </c>
      <c r="AQ31" s="13" t="s">
        <v>316</v>
      </c>
      <c r="AV31" s="22">
        <f>AW31+AX31</f>
        <v>0</v>
      </c>
      <c r="AW31" s="22">
        <f>G31*AO31</f>
        <v>0</v>
      </c>
      <c r="AX31" s="22">
        <f>G31*AP31</f>
        <v>0</v>
      </c>
      <c r="AY31" s="13" t="s">
        <v>42</v>
      </c>
      <c r="AZ31" s="13" t="s">
        <v>15</v>
      </c>
      <c r="BA31" s="18" t="s">
        <v>241</v>
      </c>
      <c r="BC31" s="22">
        <f>AW31+AX31</f>
        <v>0</v>
      </c>
      <c r="BD31" s="22">
        <f>H31/(100-BE31)*100</f>
        <v>0</v>
      </c>
      <c r="BE31" s="22">
        <v>0</v>
      </c>
      <c r="BF31" s="22">
        <f>M31</f>
        <v>0.16543</v>
      </c>
      <c r="BH31" s="22">
        <f>G31*AO31</f>
        <v>0</v>
      </c>
      <c r="BI31" s="22">
        <f>G31*AP31</f>
        <v>0</v>
      </c>
      <c r="BJ31" s="22">
        <f>G31*H31</f>
        <v>0</v>
      </c>
      <c r="BK31" s="22"/>
      <c r="BL31" s="22">
        <v>721</v>
      </c>
    </row>
    <row r="32" spans="1:47" ht="15" customHeight="1">
      <c r="A32" s="33" t="s">
        <v>221</v>
      </c>
      <c r="B32" s="41" t="s">
        <v>221</v>
      </c>
      <c r="C32" s="41" t="s">
        <v>291</v>
      </c>
      <c r="D32" s="65" t="s">
        <v>190</v>
      </c>
      <c r="E32" s="65"/>
      <c r="F32" s="28" t="s">
        <v>294</v>
      </c>
      <c r="G32" s="28" t="s">
        <v>294</v>
      </c>
      <c r="H32" s="28" t="s">
        <v>294</v>
      </c>
      <c r="I32" s="26">
        <f>SUM(I33:I35)</f>
        <v>0</v>
      </c>
      <c r="J32" s="26">
        <f>SUM(J33:J35)</f>
        <v>0</v>
      </c>
      <c r="K32" s="26">
        <f>SUM(K33:K35)</f>
        <v>0</v>
      </c>
      <c r="L32" s="18" t="s">
        <v>221</v>
      </c>
      <c r="M32" s="26">
        <f>SUM(M33:M35)</f>
        <v>0.09058</v>
      </c>
      <c r="N32" s="34" t="s">
        <v>221</v>
      </c>
      <c r="AI32" s="18" t="s">
        <v>221</v>
      </c>
      <c r="AS32" s="26">
        <f>SUM(AJ33:AJ35)</f>
        <v>0</v>
      </c>
      <c r="AT32" s="26">
        <f>SUM(AK33:AK35)</f>
        <v>0</v>
      </c>
      <c r="AU32" s="26">
        <f>SUM(AL33:AL35)</f>
        <v>0</v>
      </c>
    </row>
    <row r="33" spans="1:64" ht="15" customHeight="1">
      <c r="A33" s="43" t="s">
        <v>25</v>
      </c>
      <c r="B33" s="39" t="s">
        <v>221</v>
      </c>
      <c r="C33" s="39" t="s">
        <v>277</v>
      </c>
      <c r="D33" s="48" t="s">
        <v>329</v>
      </c>
      <c r="E33" s="48"/>
      <c r="F33" s="39" t="s">
        <v>263</v>
      </c>
      <c r="G33" s="22">
        <v>10</v>
      </c>
      <c r="H33" s="22">
        <v>0</v>
      </c>
      <c r="I33" s="22">
        <f>G33*AO33</f>
        <v>0</v>
      </c>
      <c r="J33" s="22">
        <f>G33*AP33</f>
        <v>0</v>
      </c>
      <c r="K33" s="22">
        <f>G33*H33</f>
        <v>0</v>
      </c>
      <c r="L33" s="22">
        <v>0.00213</v>
      </c>
      <c r="M33" s="22">
        <f>G33*L33</f>
        <v>0.0213</v>
      </c>
      <c r="N33" s="35" t="s">
        <v>353</v>
      </c>
      <c r="Z33" s="22">
        <f>IF(AQ33="5",BJ33,0)</f>
        <v>0</v>
      </c>
      <c r="AB33" s="22">
        <f>IF(AQ33="1",BH33,0)</f>
        <v>0</v>
      </c>
      <c r="AC33" s="22">
        <f>IF(AQ33="1",BI33,0)</f>
        <v>0</v>
      </c>
      <c r="AD33" s="22">
        <f>IF(AQ33="7",BH33,0)</f>
        <v>0</v>
      </c>
      <c r="AE33" s="22">
        <f>IF(AQ33="7",BI33,0)</f>
        <v>0</v>
      </c>
      <c r="AF33" s="22">
        <f>IF(AQ33="2",BH33,0)</f>
        <v>0</v>
      </c>
      <c r="AG33" s="22">
        <f>IF(AQ33="2",BI33,0)</f>
        <v>0</v>
      </c>
      <c r="AH33" s="22">
        <f>IF(AQ33="0",BJ33,0)</f>
        <v>0</v>
      </c>
      <c r="AI33" s="18" t="s">
        <v>221</v>
      </c>
      <c r="AJ33" s="22">
        <f>IF(AN33=0,K33,0)</f>
        <v>0</v>
      </c>
      <c r="AK33" s="22">
        <f>IF(AN33=15,K33,0)</f>
        <v>0</v>
      </c>
      <c r="AL33" s="22">
        <f>IF(AN33=21,K33,0)</f>
        <v>0</v>
      </c>
      <c r="AN33" s="22">
        <v>21</v>
      </c>
      <c r="AO33" s="22">
        <f>H33*0</f>
        <v>0</v>
      </c>
      <c r="AP33" s="22">
        <f>H33*(1-0)</f>
        <v>0</v>
      </c>
      <c r="AQ33" s="13" t="s">
        <v>316</v>
      </c>
      <c r="AV33" s="22">
        <f>AW33+AX33</f>
        <v>0</v>
      </c>
      <c r="AW33" s="22">
        <f>G33*AO33</f>
        <v>0</v>
      </c>
      <c r="AX33" s="22">
        <f>G33*AP33</f>
        <v>0</v>
      </c>
      <c r="AY33" s="13" t="s">
        <v>199</v>
      </c>
      <c r="AZ33" s="13" t="s">
        <v>15</v>
      </c>
      <c r="BA33" s="18" t="s">
        <v>241</v>
      </c>
      <c r="BC33" s="22">
        <f>AW33+AX33</f>
        <v>0</v>
      </c>
      <c r="BD33" s="22">
        <f>H33/(100-BE33)*100</f>
        <v>0</v>
      </c>
      <c r="BE33" s="22">
        <v>0</v>
      </c>
      <c r="BF33" s="22">
        <f>M33</f>
        <v>0.0213</v>
      </c>
      <c r="BH33" s="22">
        <f>G33*AO33</f>
        <v>0</v>
      </c>
      <c r="BI33" s="22">
        <f>G33*AP33</f>
        <v>0</v>
      </c>
      <c r="BJ33" s="22">
        <f>G33*H33</f>
        <v>0</v>
      </c>
      <c r="BK33" s="22"/>
      <c r="BL33" s="22">
        <v>722</v>
      </c>
    </row>
    <row r="34" spans="1:64" ht="15" customHeight="1">
      <c r="A34" s="43" t="s">
        <v>223</v>
      </c>
      <c r="B34" s="39" t="s">
        <v>221</v>
      </c>
      <c r="C34" s="39" t="s">
        <v>153</v>
      </c>
      <c r="D34" s="48" t="s">
        <v>86</v>
      </c>
      <c r="E34" s="48"/>
      <c r="F34" s="39" t="s">
        <v>263</v>
      </c>
      <c r="G34" s="22">
        <v>16</v>
      </c>
      <c r="H34" s="22">
        <v>0</v>
      </c>
      <c r="I34" s="22">
        <f>G34*AO34</f>
        <v>0</v>
      </c>
      <c r="J34" s="22">
        <f>G34*AP34</f>
        <v>0</v>
      </c>
      <c r="K34" s="22">
        <f>G34*H34</f>
        <v>0</v>
      </c>
      <c r="L34" s="22">
        <v>0.00433</v>
      </c>
      <c r="M34" s="22">
        <f>G34*L34</f>
        <v>0.06928</v>
      </c>
      <c r="N34" s="35" t="s">
        <v>353</v>
      </c>
      <c r="Z34" s="22">
        <f>IF(AQ34="5",BJ34,0)</f>
        <v>0</v>
      </c>
      <c r="AB34" s="22">
        <f>IF(AQ34="1",BH34,0)</f>
        <v>0</v>
      </c>
      <c r="AC34" s="22">
        <f>IF(AQ34="1",BI34,0)</f>
        <v>0</v>
      </c>
      <c r="AD34" s="22">
        <f>IF(AQ34="7",BH34,0)</f>
        <v>0</v>
      </c>
      <c r="AE34" s="22">
        <f>IF(AQ34="7",BI34,0)</f>
        <v>0</v>
      </c>
      <c r="AF34" s="22">
        <f>IF(AQ34="2",BH34,0)</f>
        <v>0</v>
      </c>
      <c r="AG34" s="22">
        <f>IF(AQ34="2",BI34,0)</f>
        <v>0</v>
      </c>
      <c r="AH34" s="22">
        <f>IF(AQ34="0",BJ34,0)</f>
        <v>0</v>
      </c>
      <c r="AI34" s="18" t="s">
        <v>221</v>
      </c>
      <c r="AJ34" s="22">
        <f>IF(AN34=0,K34,0)</f>
        <v>0</v>
      </c>
      <c r="AK34" s="22">
        <f>IF(AN34=15,K34,0)</f>
        <v>0</v>
      </c>
      <c r="AL34" s="22">
        <f>IF(AN34=21,K34,0)</f>
        <v>0</v>
      </c>
      <c r="AN34" s="22">
        <v>21</v>
      </c>
      <c r="AO34" s="22">
        <f>H34*0.52491372732139</f>
        <v>0</v>
      </c>
      <c r="AP34" s="22">
        <f>H34*(1-0.52491372732139)</f>
        <v>0</v>
      </c>
      <c r="AQ34" s="13" t="s">
        <v>316</v>
      </c>
      <c r="AV34" s="22">
        <f>AW34+AX34</f>
        <v>0</v>
      </c>
      <c r="AW34" s="22">
        <f>G34*AO34</f>
        <v>0</v>
      </c>
      <c r="AX34" s="22">
        <f>G34*AP34</f>
        <v>0</v>
      </c>
      <c r="AY34" s="13" t="s">
        <v>199</v>
      </c>
      <c r="AZ34" s="13" t="s">
        <v>15</v>
      </c>
      <c r="BA34" s="18" t="s">
        <v>241</v>
      </c>
      <c r="BC34" s="22">
        <f>AW34+AX34</f>
        <v>0</v>
      </c>
      <c r="BD34" s="22">
        <f>H34/(100-BE34)*100</f>
        <v>0</v>
      </c>
      <c r="BE34" s="22">
        <v>0</v>
      </c>
      <c r="BF34" s="22">
        <f>M34</f>
        <v>0.06928</v>
      </c>
      <c r="BH34" s="22">
        <f>G34*AO34</f>
        <v>0</v>
      </c>
      <c r="BI34" s="22">
        <f>G34*AP34</f>
        <v>0</v>
      </c>
      <c r="BJ34" s="22">
        <f>G34*H34</f>
        <v>0</v>
      </c>
      <c r="BK34" s="22"/>
      <c r="BL34" s="22">
        <v>722</v>
      </c>
    </row>
    <row r="35" spans="1:64" ht="15" customHeight="1">
      <c r="A35" s="43" t="s">
        <v>254</v>
      </c>
      <c r="B35" s="39" t="s">
        <v>221</v>
      </c>
      <c r="C35" s="39" t="s">
        <v>3</v>
      </c>
      <c r="D35" s="48" t="s">
        <v>66</v>
      </c>
      <c r="E35" s="48"/>
      <c r="F35" s="39" t="s">
        <v>263</v>
      </c>
      <c r="G35" s="22">
        <v>16</v>
      </c>
      <c r="H35" s="22">
        <v>0</v>
      </c>
      <c r="I35" s="22">
        <f>G35*AO35</f>
        <v>0</v>
      </c>
      <c r="J35" s="22">
        <f>G35*AP35</f>
        <v>0</v>
      </c>
      <c r="K35" s="22">
        <f>G35*H35</f>
        <v>0</v>
      </c>
      <c r="L35" s="22">
        <v>0</v>
      </c>
      <c r="M35" s="22">
        <f>G35*L35</f>
        <v>0</v>
      </c>
      <c r="N35" s="35" t="s">
        <v>353</v>
      </c>
      <c r="Z35" s="22">
        <f>IF(AQ35="5",BJ35,0)</f>
        <v>0</v>
      </c>
      <c r="AB35" s="22">
        <f>IF(AQ35="1",BH35,0)</f>
        <v>0</v>
      </c>
      <c r="AC35" s="22">
        <f>IF(AQ35="1",BI35,0)</f>
        <v>0</v>
      </c>
      <c r="AD35" s="22">
        <f>IF(AQ35="7",BH35,0)</f>
        <v>0</v>
      </c>
      <c r="AE35" s="22">
        <f>IF(AQ35="7",BI35,0)</f>
        <v>0</v>
      </c>
      <c r="AF35" s="22">
        <f>IF(AQ35="2",BH35,0)</f>
        <v>0</v>
      </c>
      <c r="AG35" s="22">
        <f>IF(AQ35="2",BI35,0)</f>
        <v>0</v>
      </c>
      <c r="AH35" s="22">
        <f>IF(AQ35="0",BJ35,0)</f>
        <v>0</v>
      </c>
      <c r="AI35" s="18" t="s">
        <v>221</v>
      </c>
      <c r="AJ35" s="22">
        <f>IF(AN35=0,K35,0)</f>
        <v>0</v>
      </c>
      <c r="AK35" s="22">
        <f>IF(AN35=15,K35,0)</f>
        <v>0</v>
      </c>
      <c r="AL35" s="22">
        <f>IF(AN35=21,K35,0)</f>
        <v>0</v>
      </c>
      <c r="AN35" s="22">
        <v>21</v>
      </c>
      <c r="AO35" s="22">
        <f>H35*0.0146496815286624</f>
        <v>0</v>
      </c>
      <c r="AP35" s="22">
        <f>H35*(1-0.0146496815286624)</f>
        <v>0</v>
      </c>
      <c r="AQ35" s="13" t="s">
        <v>316</v>
      </c>
      <c r="AV35" s="22">
        <f>AW35+AX35</f>
        <v>0</v>
      </c>
      <c r="AW35" s="22">
        <f>G35*AO35</f>
        <v>0</v>
      </c>
      <c r="AX35" s="22">
        <f>G35*AP35</f>
        <v>0</v>
      </c>
      <c r="AY35" s="13" t="s">
        <v>199</v>
      </c>
      <c r="AZ35" s="13" t="s">
        <v>15</v>
      </c>
      <c r="BA35" s="18" t="s">
        <v>241</v>
      </c>
      <c r="BC35" s="22">
        <f>AW35+AX35</f>
        <v>0</v>
      </c>
      <c r="BD35" s="22">
        <f>H35/(100-BE35)*100</f>
        <v>0</v>
      </c>
      <c r="BE35" s="22">
        <v>0</v>
      </c>
      <c r="BF35" s="22">
        <f>M35</f>
        <v>0</v>
      </c>
      <c r="BH35" s="22">
        <f>G35*AO35</f>
        <v>0</v>
      </c>
      <c r="BI35" s="22">
        <f>G35*AP35</f>
        <v>0</v>
      </c>
      <c r="BJ35" s="22">
        <f>G35*H35</f>
        <v>0</v>
      </c>
      <c r="BK35" s="22"/>
      <c r="BL35" s="22">
        <v>722</v>
      </c>
    </row>
    <row r="36" spans="1:47" ht="15" customHeight="1">
      <c r="A36" s="33" t="s">
        <v>221</v>
      </c>
      <c r="B36" s="41" t="s">
        <v>221</v>
      </c>
      <c r="C36" s="41" t="s">
        <v>304</v>
      </c>
      <c r="D36" s="65" t="s">
        <v>183</v>
      </c>
      <c r="E36" s="65"/>
      <c r="F36" s="28" t="s">
        <v>294</v>
      </c>
      <c r="G36" s="28" t="s">
        <v>294</v>
      </c>
      <c r="H36" s="28" t="s">
        <v>294</v>
      </c>
      <c r="I36" s="26">
        <f>SUM(I37:I45)</f>
        <v>0</v>
      </c>
      <c r="J36" s="26">
        <f>SUM(J37:J45)</f>
        <v>0</v>
      </c>
      <c r="K36" s="26">
        <f>SUM(K37:K45)</f>
        <v>0</v>
      </c>
      <c r="L36" s="18" t="s">
        <v>221</v>
      </c>
      <c r="M36" s="26">
        <f>SUM(M37:M45)</f>
        <v>0.41999</v>
      </c>
      <c r="N36" s="34" t="s">
        <v>221</v>
      </c>
      <c r="AI36" s="18" t="s">
        <v>221</v>
      </c>
      <c r="AS36" s="26">
        <f>SUM(AJ37:AJ45)</f>
        <v>0</v>
      </c>
      <c r="AT36" s="26">
        <f>SUM(AK37:AK45)</f>
        <v>0</v>
      </c>
      <c r="AU36" s="26">
        <f>SUM(AL37:AL45)</f>
        <v>0</v>
      </c>
    </row>
    <row r="37" spans="1:64" ht="15" customHeight="1">
      <c r="A37" s="43" t="s">
        <v>200</v>
      </c>
      <c r="B37" s="39" t="s">
        <v>221</v>
      </c>
      <c r="C37" s="39" t="s">
        <v>83</v>
      </c>
      <c r="D37" s="48" t="s">
        <v>140</v>
      </c>
      <c r="E37" s="48"/>
      <c r="F37" s="39" t="s">
        <v>99</v>
      </c>
      <c r="G37" s="22">
        <v>4</v>
      </c>
      <c r="H37" s="22">
        <v>0</v>
      </c>
      <c r="I37" s="22">
        <f aca="true" t="shared" si="24" ref="I37:I45">G37*AO37</f>
        <v>0</v>
      </c>
      <c r="J37" s="22">
        <f aca="true" t="shared" si="25" ref="J37:J45">G37*AP37</f>
        <v>0</v>
      </c>
      <c r="K37" s="22">
        <f aca="true" t="shared" si="26" ref="K37:K45">G37*H37</f>
        <v>0</v>
      </c>
      <c r="L37" s="22">
        <v>0.01201</v>
      </c>
      <c r="M37" s="22">
        <f aca="true" t="shared" si="27" ref="M37:M45">G37*L37</f>
        <v>0.04804</v>
      </c>
      <c r="N37" s="35" t="s">
        <v>353</v>
      </c>
      <c r="Z37" s="22">
        <f aca="true" t="shared" si="28" ref="Z37:Z45">IF(AQ37="5",BJ37,0)</f>
        <v>0</v>
      </c>
      <c r="AB37" s="22">
        <f aca="true" t="shared" si="29" ref="AB37:AB45">IF(AQ37="1",BH37,0)</f>
        <v>0</v>
      </c>
      <c r="AC37" s="22">
        <f aca="true" t="shared" si="30" ref="AC37:AC45">IF(AQ37="1",BI37,0)</f>
        <v>0</v>
      </c>
      <c r="AD37" s="22">
        <f aca="true" t="shared" si="31" ref="AD37:AD45">IF(AQ37="7",BH37,0)</f>
        <v>0</v>
      </c>
      <c r="AE37" s="22">
        <f aca="true" t="shared" si="32" ref="AE37:AE45">IF(AQ37="7",BI37,0)</f>
        <v>0</v>
      </c>
      <c r="AF37" s="22">
        <f aca="true" t="shared" si="33" ref="AF37:AF45">IF(AQ37="2",BH37,0)</f>
        <v>0</v>
      </c>
      <c r="AG37" s="22">
        <f aca="true" t="shared" si="34" ref="AG37:AG45">IF(AQ37="2",BI37,0)</f>
        <v>0</v>
      </c>
      <c r="AH37" s="22">
        <f aca="true" t="shared" si="35" ref="AH37:AH45">IF(AQ37="0",BJ37,0)</f>
        <v>0</v>
      </c>
      <c r="AI37" s="18" t="s">
        <v>221</v>
      </c>
      <c r="AJ37" s="22">
        <f aca="true" t="shared" si="36" ref="AJ37:AJ45">IF(AN37=0,K37,0)</f>
        <v>0</v>
      </c>
      <c r="AK37" s="22">
        <f aca="true" t="shared" si="37" ref="AK37:AK45">IF(AN37=15,K37,0)</f>
        <v>0</v>
      </c>
      <c r="AL37" s="22">
        <f aca="true" t="shared" si="38" ref="AL37:AL45">IF(AN37=21,K37,0)</f>
        <v>0</v>
      </c>
      <c r="AN37" s="22">
        <v>21</v>
      </c>
      <c r="AO37" s="22">
        <f>H37*0.654117016597489</f>
        <v>0</v>
      </c>
      <c r="AP37" s="22">
        <f>H37*(1-0.654117016597489)</f>
        <v>0</v>
      </c>
      <c r="AQ37" s="13" t="s">
        <v>316</v>
      </c>
      <c r="AV37" s="22">
        <f aca="true" t="shared" si="39" ref="AV37:AV45">AW37+AX37</f>
        <v>0</v>
      </c>
      <c r="AW37" s="22">
        <f aca="true" t="shared" si="40" ref="AW37:AW45">G37*AO37</f>
        <v>0</v>
      </c>
      <c r="AX37" s="22">
        <f aca="true" t="shared" si="41" ref="AX37:AX45">G37*AP37</f>
        <v>0</v>
      </c>
      <c r="AY37" s="13" t="s">
        <v>142</v>
      </c>
      <c r="AZ37" s="13" t="s">
        <v>15</v>
      </c>
      <c r="BA37" s="18" t="s">
        <v>241</v>
      </c>
      <c r="BC37" s="22">
        <f aca="true" t="shared" si="42" ref="BC37:BC45">AW37+AX37</f>
        <v>0</v>
      </c>
      <c r="BD37" s="22">
        <f aca="true" t="shared" si="43" ref="BD37:BD45">H37/(100-BE37)*100</f>
        <v>0</v>
      </c>
      <c r="BE37" s="22">
        <v>0</v>
      </c>
      <c r="BF37" s="22">
        <f aca="true" t="shared" si="44" ref="BF37:BF45">M37</f>
        <v>0.04804</v>
      </c>
      <c r="BH37" s="22">
        <f aca="true" t="shared" si="45" ref="BH37:BH45">G37*AO37</f>
        <v>0</v>
      </c>
      <c r="BI37" s="22">
        <f aca="true" t="shared" si="46" ref="BI37:BI45">G37*AP37</f>
        <v>0</v>
      </c>
      <c r="BJ37" s="22">
        <f aca="true" t="shared" si="47" ref="BJ37:BJ45">G37*H37</f>
        <v>0</v>
      </c>
      <c r="BK37" s="22"/>
      <c r="BL37" s="22">
        <v>725</v>
      </c>
    </row>
    <row r="38" spans="1:64" ht="15" customHeight="1">
      <c r="A38" s="43" t="s">
        <v>7</v>
      </c>
      <c r="B38" s="39" t="s">
        <v>221</v>
      </c>
      <c r="C38" s="39" t="s">
        <v>4</v>
      </c>
      <c r="D38" s="48" t="s">
        <v>319</v>
      </c>
      <c r="E38" s="48"/>
      <c r="F38" s="39" t="s">
        <v>68</v>
      </c>
      <c r="G38" s="22">
        <v>4</v>
      </c>
      <c r="H38" s="22">
        <v>0</v>
      </c>
      <c r="I38" s="22">
        <f t="shared" si="24"/>
        <v>0</v>
      </c>
      <c r="J38" s="22">
        <f t="shared" si="25"/>
        <v>0</v>
      </c>
      <c r="K38" s="22">
        <f t="shared" si="26"/>
        <v>0</v>
      </c>
      <c r="L38" s="22">
        <v>0.00102</v>
      </c>
      <c r="M38" s="22">
        <f t="shared" si="27"/>
        <v>0.00408</v>
      </c>
      <c r="N38" s="35" t="s">
        <v>353</v>
      </c>
      <c r="Z38" s="22">
        <f t="shared" si="28"/>
        <v>0</v>
      </c>
      <c r="AB38" s="22">
        <f t="shared" si="29"/>
        <v>0</v>
      </c>
      <c r="AC38" s="22">
        <f t="shared" si="30"/>
        <v>0</v>
      </c>
      <c r="AD38" s="22">
        <f t="shared" si="31"/>
        <v>0</v>
      </c>
      <c r="AE38" s="22">
        <f t="shared" si="32"/>
        <v>0</v>
      </c>
      <c r="AF38" s="22">
        <f t="shared" si="33"/>
        <v>0</v>
      </c>
      <c r="AG38" s="22">
        <f t="shared" si="34"/>
        <v>0</v>
      </c>
      <c r="AH38" s="22">
        <f t="shared" si="35"/>
        <v>0</v>
      </c>
      <c r="AI38" s="18" t="s">
        <v>221</v>
      </c>
      <c r="AJ38" s="22">
        <f t="shared" si="36"/>
        <v>0</v>
      </c>
      <c r="AK38" s="22">
        <f t="shared" si="37"/>
        <v>0</v>
      </c>
      <c r="AL38" s="22">
        <f t="shared" si="38"/>
        <v>0</v>
      </c>
      <c r="AN38" s="22">
        <v>21</v>
      </c>
      <c r="AO38" s="22">
        <f>H38*0.909028776978417</f>
        <v>0</v>
      </c>
      <c r="AP38" s="22">
        <f>H38*(1-0.909028776978417)</f>
        <v>0</v>
      </c>
      <c r="AQ38" s="13" t="s">
        <v>316</v>
      </c>
      <c r="AV38" s="22">
        <f t="shared" si="39"/>
        <v>0</v>
      </c>
      <c r="AW38" s="22">
        <f t="shared" si="40"/>
        <v>0</v>
      </c>
      <c r="AX38" s="22">
        <f t="shared" si="41"/>
        <v>0</v>
      </c>
      <c r="AY38" s="13" t="s">
        <v>142</v>
      </c>
      <c r="AZ38" s="13" t="s">
        <v>15</v>
      </c>
      <c r="BA38" s="18" t="s">
        <v>241</v>
      </c>
      <c r="BC38" s="22">
        <f t="shared" si="42"/>
        <v>0</v>
      </c>
      <c r="BD38" s="22">
        <f t="shared" si="43"/>
        <v>0</v>
      </c>
      <c r="BE38" s="22">
        <v>0</v>
      </c>
      <c r="BF38" s="22">
        <f t="shared" si="44"/>
        <v>0.00408</v>
      </c>
      <c r="BH38" s="22">
        <f t="shared" si="45"/>
        <v>0</v>
      </c>
      <c r="BI38" s="22">
        <f t="shared" si="46"/>
        <v>0</v>
      </c>
      <c r="BJ38" s="22">
        <f t="shared" si="47"/>
        <v>0</v>
      </c>
      <c r="BK38" s="22"/>
      <c r="BL38" s="22">
        <v>725</v>
      </c>
    </row>
    <row r="39" spans="1:64" ht="15" customHeight="1">
      <c r="A39" s="43" t="s">
        <v>225</v>
      </c>
      <c r="B39" s="39" t="s">
        <v>221</v>
      </c>
      <c r="C39" s="39" t="s">
        <v>57</v>
      </c>
      <c r="D39" s="48" t="s">
        <v>268</v>
      </c>
      <c r="E39" s="48"/>
      <c r="F39" s="39" t="s">
        <v>68</v>
      </c>
      <c r="G39" s="22">
        <v>6</v>
      </c>
      <c r="H39" s="22">
        <v>0</v>
      </c>
      <c r="I39" s="22">
        <f t="shared" si="24"/>
        <v>0</v>
      </c>
      <c r="J39" s="22">
        <f t="shared" si="25"/>
        <v>0</v>
      </c>
      <c r="K39" s="22">
        <f t="shared" si="26"/>
        <v>0</v>
      </c>
      <c r="L39" s="22">
        <v>0.00042</v>
      </c>
      <c r="M39" s="22">
        <f t="shared" si="27"/>
        <v>0.00252</v>
      </c>
      <c r="N39" s="35" t="s">
        <v>353</v>
      </c>
      <c r="Z39" s="22">
        <f t="shared" si="28"/>
        <v>0</v>
      </c>
      <c r="AB39" s="22">
        <f t="shared" si="29"/>
        <v>0</v>
      </c>
      <c r="AC39" s="22">
        <f t="shared" si="30"/>
        <v>0</v>
      </c>
      <c r="AD39" s="22">
        <f t="shared" si="31"/>
        <v>0</v>
      </c>
      <c r="AE39" s="22">
        <f t="shared" si="32"/>
        <v>0</v>
      </c>
      <c r="AF39" s="22">
        <f t="shared" si="33"/>
        <v>0</v>
      </c>
      <c r="AG39" s="22">
        <f t="shared" si="34"/>
        <v>0</v>
      </c>
      <c r="AH39" s="22">
        <f t="shared" si="35"/>
        <v>0</v>
      </c>
      <c r="AI39" s="18" t="s">
        <v>221</v>
      </c>
      <c r="AJ39" s="22">
        <f t="shared" si="36"/>
        <v>0</v>
      </c>
      <c r="AK39" s="22">
        <f t="shared" si="37"/>
        <v>0</v>
      </c>
      <c r="AL39" s="22">
        <f t="shared" si="38"/>
        <v>0</v>
      </c>
      <c r="AN39" s="22">
        <v>21</v>
      </c>
      <c r="AO39" s="22">
        <f>H39*0.526449275362319</f>
        <v>0</v>
      </c>
      <c r="AP39" s="22">
        <f>H39*(1-0.526449275362319)</f>
        <v>0</v>
      </c>
      <c r="AQ39" s="13" t="s">
        <v>316</v>
      </c>
      <c r="AV39" s="22">
        <f t="shared" si="39"/>
        <v>0</v>
      </c>
      <c r="AW39" s="22">
        <f t="shared" si="40"/>
        <v>0</v>
      </c>
      <c r="AX39" s="22">
        <f t="shared" si="41"/>
        <v>0</v>
      </c>
      <c r="AY39" s="13" t="s">
        <v>142</v>
      </c>
      <c r="AZ39" s="13" t="s">
        <v>15</v>
      </c>
      <c r="BA39" s="18" t="s">
        <v>241</v>
      </c>
      <c r="BC39" s="22">
        <f t="shared" si="42"/>
        <v>0</v>
      </c>
      <c r="BD39" s="22">
        <f t="shared" si="43"/>
        <v>0</v>
      </c>
      <c r="BE39" s="22">
        <v>0</v>
      </c>
      <c r="BF39" s="22">
        <f t="shared" si="44"/>
        <v>0.00252</v>
      </c>
      <c r="BH39" s="22">
        <f t="shared" si="45"/>
        <v>0</v>
      </c>
      <c r="BI39" s="22">
        <f t="shared" si="46"/>
        <v>0</v>
      </c>
      <c r="BJ39" s="22">
        <f t="shared" si="47"/>
        <v>0</v>
      </c>
      <c r="BK39" s="22"/>
      <c r="BL39" s="22">
        <v>725</v>
      </c>
    </row>
    <row r="40" spans="1:64" ht="15" customHeight="1">
      <c r="A40" s="43" t="s">
        <v>300</v>
      </c>
      <c r="B40" s="39" t="s">
        <v>221</v>
      </c>
      <c r="C40" s="39" t="s">
        <v>331</v>
      </c>
      <c r="D40" s="48" t="s">
        <v>64</v>
      </c>
      <c r="E40" s="48"/>
      <c r="F40" s="39" t="s">
        <v>99</v>
      </c>
      <c r="G40" s="22">
        <v>5</v>
      </c>
      <c r="H40" s="22">
        <v>0</v>
      </c>
      <c r="I40" s="22">
        <f t="shared" si="24"/>
        <v>0</v>
      </c>
      <c r="J40" s="22">
        <f t="shared" si="25"/>
        <v>0</v>
      </c>
      <c r="K40" s="22">
        <f t="shared" si="26"/>
        <v>0</v>
      </c>
      <c r="L40" s="22">
        <v>0.01933</v>
      </c>
      <c r="M40" s="22">
        <f t="shared" si="27"/>
        <v>0.09665</v>
      </c>
      <c r="N40" s="35" t="s">
        <v>353</v>
      </c>
      <c r="Z40" s="22">
        <f t="shared" si="28"/>
        <v>0</v>
      </c>
      <c r="AB40" s="22">
        <f t="shared" si="29"/>
        <v>0</v>
      </c>
      <c r="AC40" s="22">
        <f t="shared" si="30"/>
        <v>0</v>
      </c>
      <c r="AD40" s="22">
        <f t="shared" si="31"/>
        <v>0</v>
      </c>
      <c r="AE40" s="22">
        <f t="shared" si="32"/>
        <v>0</v>
      </c>
      <c r="AF40" s="22">
        <f t="shared" si="33"/>
        <v>0</v>
      </c>
      <c r="AG40" s="22">
        <f t="shared" si="34"/>
        <v>0</v>
      </c>
      <c r="AH40" s="22">
        <f t="shared" si="35"/>
        <v>0</v>
      </c>
      <c r="AI40" s="18" t="s">
        <v>221</v>
      </c>
      <c r="AJ40" s="22">
        <f t="shared" si="36"/>
        <v>0</v>
      </c>
      <c r="AK40" s="22">
        <f t="shared" si="37"/>
        <v>0</v>
      </c>
      <c r="AL40" s="22">
        <f t="shared" si="38"/>
        <v>0</v>
      </c>
      <c r="AN40" s="22">
        <v>21</v>
      </c>
      <c r="AO40" s="22">
        <f>H40*0</f>
        <v>0</v>
      </c>
      <c r="AP40" s="22">
        <f>H40*(1-0)</f>
        <v>0</v>
      </c>
      <c r="AQ40" s="13" t="s">
        <v>316</v>
      </c>
      <c r="AV40" s="22">
        <f t="shared" si="39"/>
        <v>0</v>
      </c>
      <c r="AW40" s="22">
        <f t="shared" si="40"/>
        <v>0</v>
      </c>
      <c r="AX40" s="22">
        <f t="shared" si="41"/>
        <v>0</v>
      </c>
      <c r="AY40" s="13" t="s">
        <v>142</v>
      </c>
      <c r="AZ40" s="13" t="s">
        <v>15</v>
      </c>
      <c r="BA40" s="18" t="s">
        <v>241</v>
      </c>
      <c r="BC40" s="22">
        <f t="shared" si="42"/>
        <v>0</v>
      </c>
      <c r="BD40" s="22">
        <f t="shared" si="43"/>
        <v>0</v>
      </c>
      <c r="BE40" s="22">
        <v>0</v>
      </c>
      <c r="BF40" s="22">
        <f t="shared" si="44"/>
        <v>0.09665</v>
      </c>
      <c r="BH40" s="22">
        <f t="shared" si="45"/>
        <v>0</v>
      </c>
      <c r="BI40" s="22">
        <f t="shared" si="46"/>
        <v>0</v>
      </c>
      <c r="BJ40" s="22">
        <f t="shared" si="47"/>
        <v>0</v>
      </c>
      <c r="BK40" s="22"/>
      <c r="BL40" s="22">
        <v>725</v>
      </c>
    </row>
    <row r="41" spans="1:64" ht="15" customHeight="1">
      <c r="A41" s="43" t="s">
        <v>141</v>
      </c>
      <c r="B41" s="39" t="s">
        <v>221</v>
      </c>
      <c r="C41" s="39" t="s">
        <v>166</v>
      </c>
      <c r="D41" s="48" t="s">
        <v>56</v>
      </c>
      <c r="E41" s="48"/>
      <c r="F41" s="39" t="s">
        <v>99</v>
      </c>
      <c r="G41" s="22">
        <v>6</v>
      </c>
      <c r="H41" s="22">
        <v>0</v>
      </c>
      <c r="I41" s="22">
        <f t="shared" si="24"/>
        <v>0</v>
      </c>
      <c r="J41" s="22">
        <f t="shared" si="25"/>
        <v>0</v>
      </c>
      <c r="K41" s="22">
        <f t="shared" si="26"/>
        <v>0</v>
      </c>
      <c r="L41" s="22">
        <v>0.01946</v>
      </c>
      <c r="M41" s="22">
        <f t="shared" si="27"/>
        <v>0.11676</v>
      </c>
      <c r="N41" s="35" t="s">
        <v>353</v>
      </c>
      <c r="Z41" s="22">
        <f t="shared" si="28"/>
        <v>0</v>
      </c>
      <c r="AB41" s="22">
        <f t="shared" si="29"/>
        <v>0</v>
      </c>
      <c r="AC41" s="22">
        <f t="shared" si="30"/>
        <v>0</v>
      </c>
      <c r="AD41" s="22">
        <f t="shared" si="31"/>
        <v>0</v>
      </c>
      <c r="AE41" s="22">
        <f t="shared" si="32"/>
        <v>0</v>
      </c>
      <c r="AF41" s="22">
        <f t="shared" si="33"/>
        <v>0</v>
      </c>
      <c r="AG41" s="22">
        <f t="shared" si="34"/>
        <v>0</v>
      </c>
      <c r="AH41" s="22">
        <f t="shared" si="35"/>
        <v>0</v>
      </c>
      <c r="AI41" s="18" t="s">
        <v>221</v>
      </c>
      <c r="AJ41" s="22">
        <f t="shared" si="36"/>
        <v>0</v>
      </c>
      <c r="AK41" s="22">
        <f t="shared" si="37"/>
        <v>0</v>
      </c>
      <c r="AL41" s="22">
        <f t="shared" si="38"/>
        <v>0</v>
      </c>
      <c r="AN41" s="22">
        <v>21</v>
      </c>
      <c r="AO41" s="22">
        <f>H41*0</f>
        <v>0</v>
      </c>
      <c r="AP41" s="22">
        <f>H41*(1-0)</f>
        <v>0</v>
      </c>
      <c r="AQ41" s="13" t="s">
        <v>316</v>
      </c>
      <c r="AV41" s="22">
        <f t="shared" si="39"/>
        <v>0</v>
      </c>
      <c r="AW41" s="22">
        <f t="shared" si="40"/>
        <v>0</v>
      </c>
      <c r="AX41" s="22">
        <f t="shared" si="41"/>
        <v>0</v>
      </c>
      <c r="AY41" s="13" t="s">
        <v>142</v>
      </c>
      <c r="AZ41" s="13" t="s">
        <v>15</v>
      </c>
      <c r="BA41" s="18" t="s">
        <v>241</v>
      </c>
      <c r="BC41" s="22">
        <f t="shared" si="42"/>
        <v>0</v>
      </c>
      <c r="BD41" s="22">
        <f t="shared" si="43"/>
        <v>0</v>
      </c>
      <c r="BE41" s="22">
        <v>0</v>
      </c>
      <c r="BF41" s="22">
        <f t="shared" si="44"/>
        <v>0.11676</v>
      </c>
      <c r="BH41" s="22">
        <f t="shared" si="45"/>
        <v>0</v>
      </c>
      <c r="BI41" s="22">
        <f t="shared" si="46"/>
        <v>0</v>
      </c>
      <c r="BJ41" s="22">
        <f t="shared" si="47"/>
        <v>0</v>
      </c>
      <c r="BK41" s="22"/>
      <c r="BL41" s="22">
        <v>725</v>
      </c>
    </row>
    <row r="42" spans="1:64" ht="15" customHeight="1">
      <c r="A42" s="43" t="s">
        <v>27</v>
      </c>
      <c r="B42" s="39" t="s">
        <v>221</v>
      </c>
      <c r="C42" s="39" t="s">
        <v>5</v>
      </c>
      <c r="D42" s="48" t="s">
        <v>245</v>
      </c>
      <c r="E42" s="48"/>
      <c r="F42" s="39" t="s">
        <v>99</v>
      </c>
      <c r="G42" s="22">
        <v>6</v>
      </c>
      <c r="H42" s="22">
        <v>0</v>
      </c>
      <c r="I42" s="22">
        <f t="shared" si="24"/>
        <v>0</v>
      </c>
      <c r="J42" s="22">
        <f t="shared" si="25"/>
        <v>0</v>
      </c>
      <c r="K42" s="22">
        <f t="shared" si="26"/>
        <v>0</v>
      </c>
      <c r="L42" s="22">
        <v>0.00156</v>
      </c>
      <c r="M42" s="22">
        <f t="shared" si="27"/>
        <v>0.00936</v>
      </c>
      <c r="N42" s="35" t="s">
        <v>353</v>
      </c>
      <c r="Z42" s="22">
        <f t="shared" si="28"/>
        <v>0</v>
      </c>
      <c r="AB42" s="22">
        <f t="shared" si="29"/>
        <v>0</v>
      </c>
      <c r="AC42" s="22">
        <f t="shared" si="30"/>
        <v>0</v>
      </c>
      <c r="AD42" s="22">
        <f t="shared" si="31"/>
        <v>0</v>
      </c>
      <c r="AE42" s="22">
        <f t="shared" si="32"/>
        <v>0</v>
      </c>
      <c r="AF42" s="22">
        <f t="shared" si="33"/>
        <v>0</v>
      </c>
      <c r="AG42" s="22">
        <f t="shared" si="34"/>
        <v>0</v>
      </c>
      <c r="AH42" s="22">
        <f t="shared" si="35"/>
        <v>0</v>
      </c>
      <c r="AI42" s="18" t="s">
        <v>221</v>
      </c>
      <c r="AJ42" s="22">
        <f t="shared" si="36"/>
        <v>0</v>
      </c>
      <c r="AK42" s="22">
        <f t="shared" si="37"/>
        <v>0</v>
      </c>
      <c r="AL42" s="22">
        <f t="shared" si="38"/>
        <v>0</v>
      </c>
      <c r="AN42" s="22">
        <v>21</v>
      </c>
      <c r="AO42" s="22">
        <f>H42*0</f>
        <v>0</v>
      </c>
      <c r="AP42" s="22">
        <f>H42*(1-0)</f>
        <v>0</v>
      </c>
      <c r="AQ42" s="13" t="s">
        <v>316</v>
      </c>
      <c r="AV42" s="22">
        <f t="shared" si="39"/>
        <v>0</v>
      </c>
      <c r="AW42" s="22">
        <f t="shared" si="40"/>
        <v>0</v>
      </c>
      <c r="AX42" s="22">
        <f t="shared" si="41"/>
        <v>0</v>
      </c>
      <c r="AY42" s="13" t="s">
        <v>142</v>
      </c>
      <c r="AZ42" s="13" t="s">
        <v>15</v>
      </c>
      <c r="BA42" s="18" t="s">
        <v>241</v>
      </c>
      <c r="BC42" s="22">
        <f t="shared" si="42"/>
        <v>0</v>
      </c>
      <c r="BD42" s="22">
        <f t="shared" si="43"/>
        <v>0</v>
      </c>
      <c r="BE42" s="22">
        <v>0</v>
      </c>
      <c r="BF42" s="22">
        <f t="shared" si="44"/>
        <v>0.00936</v>
      </c>
      <c r="BH42" s="22">
        <f t="shared" si="45"/>
        <v>0</v>
      </c>
      <c r="BI42" s="22">
        <f t="shared" si="46"/>
        <v>0</v>
      </c>
      <c r="BJ42" s="22">
        <f t="shared" si="47"/>
        <v>0</v>
      </c>
      <c r="BK42" s="22"/>
      <c r="BL42" s="22">
        <v>725</v>
      </c>
    </row>
    <row r="43" spans="1:64" ht="15" customHeight="1">
      <c r="A43" s="43" t="s">
        <v>67</v>
      </c>
      <c r="B43" s="39" t="s">
        <v>221</v>
      </c>
      <c r="C43" s="39" t="s">
        <v>39</v>
      </c>
      <c r="D43" s="48" t="s">
        <v>1</v>
      </c>
      <c r="E43" s="48"/>
      <c r="F43" s="39" t="s">
        <v>99</v>
      </c>
      <c r="G43" s="22">
        <v>5</v>
      </c>
      <c r="H43" s="22">
        <v>0</v>
      </c>
      <c r="I43" s="22">
        <f t="shared" si="24"/>
        <v>0</v>
      </c>
      <c r="J43" s="22">
        <f t="shared" si="25"/>
        <v>0</v>
      </c>
      <c r="K43" s="22">
        <f t="shared" si="26"/>
        <v>0</v>
      </c>
      <c r="L43" s="22">
        <v>0.02794</v>
      </c>
      <c r="M43" s="22">
        <f t="shared" si="27"/>
        <v>0.1397</v>
      </c>
      <c r="N43" s="35" t="s">
        <v>353</v>
      </c>
      <c r="Z43" s="22">
        <f t="shared" si="28"/>
        <v>0</v>
      </c>
      <c r="AB43" s="22">
        <f t="shared" si="29"/>
        <v>0</v>
      </c>
      <c r="AC43" s="22">
        <f t="shared" si="30"/>
        <v>0</v>
      </c>
      <c r="AD43" s="22">
        <f t="shared" si="31"/>
        <v>0</v>
      </c>
      <c r="AE43" s="22">
        <f t="shared" si="32"/>
        <v>0</v>
      </c>
      <c r="AF43" s="22">
        <f t="shared" si="33"/>
        <v>0</v>
      </c>
      <c r="AG43" s="22">
        <f t="shared" si="34"/>
        <v>0</v>
      </c>
      <c r="AH43" s="22">
        <f t="shared" si="35"/>
        <v>0</v>
      </c>
      <c r="AI43" s="18" t="s">
        <v>221</v>
      </c>
      <c r="AJ43" s="22">
        <f t="shared" si="36"/>
        <v>0</v>
      </c>
      <c r="AK43" s="22">
        <f t="shared" si="37"/>
        <v>0</v>
      </c>
      <c r="AL43" s="22">
        <f t="shared" si="38"/>
        <v>0</v>
      </c>
      <c r="AN43" s="22">
        <v>21</v>
      </c>
      <c r="AO43" s="22">
        <f>H43*0.856271440466278</f>
        <v>0</v>
      </c>
      <c r="AP43" s="22">
        <f>H43*(1-0.856271440466278)</f>
        <v>0</v>
      </c>
      <c r="AQ43" s="13" t="s">
        <v>316</v>
      </c>
      <c r="AV43" s="22">
        <f t="shared" si="39"/>
        <v>0</v>
      </c>
      <c r="AW43" s="22">
        <f t="shared" si="40"/>
        <v>0</v>
      </c>
      <c r="AX43" s="22">
        <f t="shared" si="41"/>
        <v>0</v>
      </c>
      <c r="AY43" s="13" t="s">
        <v>142</v>
      </c>
      <c r="AZ43" s="13" t="s">
        <v>15</v>
      </c>
      <c r="BA43" s="18" t="s">
        <v>241</v>
      </c>
      <c r="BC43" s="22">
        <f t="shared" si="42"/>
        <v>0</v>
      </c>
      <c r="BD43" s="22">
        <f t="shared" si="43"/>
        <v>0</v>
      </c>
      <c r="BE43" s="22">
        <v>0</v>
      </c>
      <c r="BF43" s="22">
        <f t="shared" si="44"/>
        <v>0.1397</v>
      </c>
      <c r="BH43" s="22">
        <f t="shared" si="45"/>
        <v>0</v>
      </c>
      <c r="BI43" s="22">
        <f t="shared" si="46"/>
        <v>0</v>
      </c>
      <c r="BJ43" s="22">
        <f t="shared" si="47"/>
        <v>0</v>
      </c>
      <c r="BK43" s="22"/>
      <c r="BL43" s="22">
        <v>725</v>
      </c>
    </row>
    <row r="44" spans="1:64" ht="15" customHeight="1">
      <c r="A44" s="43" t="s">
        <v>36</v>
      </c>
      <c r="B44" s="39" t="s">
        <v>221</v>
      </c>
      <c r="C44" s="39" t="s">
        <v>344</v>
      </c>
      <c r="D44" s="48" t="s">
        <v>13</v>
      </c>
      <c r="E44" s="48"/>
      <c r="F44" s="39" t="s">
        <v>68</v>
      </c>
      <c r="G44" s="22">
        <v>1</v>
      </c>
      <c r="H44" s="22">
        <v>0</v>
      </c>
      <c r="I44" s="22">
        <f t="shared" si="24"/>
        <v>0</v>
      </c>
      <c r="J44" s="22">
        <f t="shared" si="25"/>
        <v>0</v>
      </c>
      <c r="K44" s="22">
        <f t="shared" si="26"/>
        <v>0</v>
      </c>
      <c r="L44" s="22">
        <v>0.00152</v>
      </c>
      <c r="M44" s="22">
        <f t="shared" si="27"/>
        <v>0.00152</v>
      </c>
      <c r="N44" s="35" t="s">
        <v>353</v>
      </c>
      <c r="Z44" s="22">
        <f t="shared" si="28"/>
        <v>0</v>
      </c>
      <c r="AB44" s="22">
        <f t="shared" si="29"/>
        <v>0</v>
      </c>
      <c r="AC44" s="22">
        <f t="shared" si="30"/>
        <v>0</v>
      </c>
      <c r="AD44" s="22">
        <f t="shared" si="31"/>
        <v>0</v>
      </c>
      <c r="AE44" s="22">
        <f t="shared" si="32"/>
        <v>0</v>
      </c>
      <c r="AF44" s="22">
        <f t="shared" si="33"/>
        <v>0</v>
      </c>
      <c r="AG44" s="22">
        <f t="shared" si="34"/>
        <v>0</v>
      </c>
      <c r="AH44" s="22">
        <f t="shared" si="35"/>
        <v>0</v>
      </c>
      <c r="AI44" s="18" t="s">
        <v>221</v>
      </c>
      <c r="AJ44" s="22">
        <f t="shared" si="36"/>
        <v>0</v>
      </c>
      <c r="AK44" s="22">
        <f t="shared" si="37"/>
        <v>0</v>
      </c>
      <c r="AL44" s="22">
        <f t="shared" si="38"/>
        <v>0</v>
      </c>
      <c r="AN44" s="22">
        <v>21</v>
      </c>
      <c r="AO44" s="22">
        <f>H44*0.90404</f>
        <v>0</v>
      </c>
      <c r="AP44" s="22">
        <f>H44*(1-0.90404)</f>
        <v>0</v>
      </c>
      <c r="AQ44" s="13" t="s">
        <v>316</v>
      </c>
      <c r="AV44" s="22">
        <f t="shared" si="39"/>
        <v>0</v>
      </c>
      <c r="AW44" s="22">
        <f t="shared" si="40"/>
        <v>0</v>
      </c>
      <c r="AX44" s="22">
        <f t="shared" si="41"/>
        <v>0</v>
      </c>
      <c r="AY44" s="13" t="s">
        <v>142</v>
      </c>
      <c r="AZ44" s="13" t="s">
        <v>15</v>
      </c>
      <c r="BA44" s="18" t="s">
        <v>241</v>
      </c>
      <c r="BC44" s="22">
        <f t="shared" si="42"/>
        <v>0</v>
      </c>
      <c r="BD44" s="22">
        <f t="shared" si="43"/>
        <v>0</v>
      </c>
      <c r="BE44" s="22">
        <v>0</v>
      </c>
      <c r="BF44" s="22">
        <f t="shared" si="44"/>
        <v>0.00152</v>
      </c>
      <c r="BH44" s="22">
        <f t="shared" si="45"/>
        <v>0</v>
      </c>
      <c r="BI44" s="22">
        <f t="shared" si="46"/>
        <v>0</v>
      </c>
      <c r="BJ44" s="22">
        <f t="shared" si="47"/>
        <v>0</v>
      </c>
      <c r="BK44" s="22"/>
      <c r="BL44" s="22">
        <v>725</v>
      </c>
    </row>
    <row r="45" spans="1:64" ht="15" customHeight="1">
      <c r="A45" s="43" t="s">
        <v>306</v>
      </c>
      <c r="B45" s="39" t="s">
        <v>221</v>
      </c>
      <c r="C45" s="39" t="s">
        <v>334</v>
      </c>
      <c r="D45" s="48" t="s">
        <v>158</v>
      </c>
      <c r="E45" s="48"/>
      <c r="F45" s="39" t="s">
        <v>99</v>
      </c>
      <c r="G45" s="22">
        <v>8</v>
      </c>
      <c r="H45" s="22">
        <v>0</v>
      </c>
      <c r="I45" s="22">
        <f t="shared" si="24"/>
        <v>0</v>
      </c>
      <c r="J45" s="22">
        <f t="shared" si="25"/>
        <v>0</v>
      </c>
      <c r="K45" s="22">
        <f t="shared" si="26"/>
        <v>0</v>
      </c>
      <c r="L45" s="22">
        <v>0.00017</v>
      </c>
      <c r="M45" s="22">
        <f t="shared" si="27"/>
        <v>0.00136</v>
      </c>
      <c r="N45" s="35" t="s">
        <v>353</v>
      </c>
      <c r="Z45" s="22">
        <f t="shared" si="28"/>
        <v>0</v>
      </c>
      <c r="AB45" s="22">
        <f t="shared" si="29"/>
        <v>0</v>
      </c>
      <c r="AC45" s="22">
        <f t="shared" si="30"/>
        <v>0</v>
      </c>
      <c r="AD45" s="22">
        <f t="shared" si="31"/>
        <v>0</v>
      </c>
      <c r="AE45" s="22">
        <f t="shared" si="32"/>
        <v>0</v>
      </c>
      <c r="AF45" s="22">
        <f t="shared" si="33"/>
        <v>0</v>
      </c>
      <c r="AG45" s="22">
        <f t="shared" si="34"/>
        <v>0</v>
      </c>
      <c r="AH45" s="22">
        <f t="shared" si="35"/>
        <v>0</v>
      </c>
      <c r="AI45" s="18" t="s">
        <v>221</v>
      </c>
      <c r="AJ45" s="22">
        <f t="shared" si="36"/>
        <v>0</v>
      </c>
      <c r="AK45" s="22">
        <f t="shared" si="37"/>
        <v>0</v>
      </c>
      <c r="AL45" s="22">
        <f t="shared" si="38"/>
        <v>0</v>
      </c>
      <c r="AN45" s="22">
        <v>21</v>
      </c>
      <c r="AO45" s="22">
        <f>H45*0.600662251655629</f>
        <v>0</v>
      </c>
      <c r="AP45" s="22">
        <f>H45*(1-0.600662251655629)</f>
        <v>0</v>
      </c>
      <c r="AQ45" s="13" t="s">
        <v>316</v>
      </c>
      <c r="AV45" s="22">
        <f t="shared" si="39"/>
        <v>0</v>
      </c>
      <c r="AW45" s="22">
        <f t="shared" si="40"/>
        <v>0</v>
      </c>
      <c r="AX45" s="22">
        <f t="shared" si="41"/>
        <v>0</v>
      </c>
      <c r="AY45" s="13" t="s">
        <v>142</v>
      </c>
      <c r="AZ45" s="13" t="s">
        <v>15</v>
      </c>
      <c r="BA45" s="18" t="s">
        <v>241</v>
      </c>
      <c r="BC45" s="22">
        <f t="shared" si="42"/>
        <v>0</v>
      </c>
      <c r="BD45" s="22">
        <f t="shared" si="43"/>
        <v>0</v>
      </c>
      <c r="BE45" s="22">
        <v>0</v>
      </c>
      <c r="BF45" s="22">
        <f t="shared" si="44"/>
        <v>0.00136</v>
      </c>
      <c r="BH45" s="22">
        <f t="shared" si="45"/>
        <v>0</v>
      </c>
      <c r="BI45" s="22">
        <f t="shared" si="46"/>
        <v>0</v>
      </c>
      <c r="BJ45" s="22">
        <f t="shared" si="47"/>
        <v>0</v>
      </c>
      <c r="BK45" s="22"/>
      <c r="BL45" s="22">
        <v>725</v>
      </c>
    </row>
    <row r="46" spans="1:47" ht="15" customHeight="1">
      <c r="A46" s="33" t="s">
        <v>221</v>
      </c>
      <c r="B46" s="41" t="s">
        <v>221</v>
      </c>
      <c r="C46" s="41" t="s">
        <v>145</v>
      </c>
      <c r="D46" s="65" t="s">
        <v>85</v>
      </c>
      <c r="E46" s="65"/>
      <c r="F46" s="28" t="s">
        <v>294</v>
      </c>
      <c r="G46" s="28" t="s">
        <v>294</v>
      </c>
      <c r="H46" s="28" t="s">
        <v>294</v>
      </c>
      <c r="I46" s="26">
        <f>SUM(I47:I48)</f>
        <v>0</v>
      </c>
      <c r="J46" s="26">
        <f>SUM(J47:J48)</f>
        <v>0</v>
      </c>
      <c r="K46" s="26">
        <f>SUM(K47:K48)</f>
        <v>0</v>
      </c>
      <c r="L46" s="18" t="s">
        <v>221</v>
      </c>
      <c r="M46" s="26">
        <f>SUM(M47:M48)</f>
        <v>0.55823985</v>
      </c>
      <c r="N46" s="34" t="s">
        <v>221</v>
      </c>
      <c r="AI46" s="18" t="s">
        <v>221</v>
      </c>
      <c r="AS46" s="26">
        <f>SUM(AJ47:AJ48)</f>
        <v>0</v>
      </c>
      <c r="AT46" s="26">
        <f>SUM(AK47:AK48)</f>
        <v>0</v>
      </c>
      <c r="AU46" s="26">
        <f>SUM(AL47:AL48)</f>
        <v>0</v>
      </c>
    </row>
    <row r="47" spans="1:64" ht="15" customHeight="1">
      <c r="A47" s="43" t="s">
        <v>338</v>
      </c>
      <c r="B47" s="39" t="s">
        <v>221</v>
      </c>
      <c r="C47" s="39" t="s">
        <v>12</v>
      </c>
      <c r="D47" s="48" t="s">
        <v>52</v>
      </c>
      <c r="E47" s="48"/>
      <c r="F47" s="39" t="s">
        <v>309</v>
      </c>
      <c r="G47" s="22">
        <v>63.945</v>
      </c>
      <c r="H47" s="22">
        <v>0</v>
      </c>
      <c r="I47" s="22">
        <f>G47*AO47</f>
        <v>0</v>
      </c>
      <c r="J47" s="22">
        <f>G47*AP47</f>
        <v>0</v>
      </c>
      <c r="K47" s="22">
        <f>G47*H47</f>
        <v>0</v>
      </c>
      <c r="L47" s="22">
        <v>0.004</v>
      </c>
      <c r="M47" s="22">
        <f>G47*L47</f>
        <v>0.25578</v>
      </c>
      <c r="N47" s="35" t="s">
        <v>353</v>
      </c>
      <c r="Z47" s="22">
        <f>IF(AQ47="5",BJ47,0)</f>
        <v>0</v>
      </c>
      <c r="AB47" s="22">
        <f>IF(AQ47="1",BH47,0)</f>
        <v>0</v>
      </c>
      <c r="AC47" s="22">
        <f>IF(AQ47="1",BI47,0)</f>
        <v>0</v>
      </c>
      <c r="AD47" s="22">
        <f>IF(AQ47="7",BH47,0)</f>
        <v>0</v>
      </c>
      <c r="AE47" s="22">
        <f>IF(AQ47="7",BI47,0)</f>
        <v>0</v>
      </c>
      <c r="AF47" s="22">
        <f>IF(AQ47="2",BH47,0)</f>
        <v>0</v>
      </c>
      <c r="AG47" s="22">
        <f>IF(AQ47="2",BI47,0)</f>
        <v>0</v>
      </c>
      <c r="AH47" s="22">
        <f>IF(AQ47="0",BJ47,0)</f>
        <v>0</v>
      </c>
      <c r="AI47" s="18" t="s">
        <v>221</v>
      </c>
      <c r="AJ47" s="22">
        <f>IF(AN47=0,K47,0)</f>
        <v>0</v>
      </c>
      <c r="AK47" s="22">
        <f>IF(AN47=15,K47,0)</f>
        <v>0</v>
      </c>
      <c r="AL47" s="22">
        <f>IF(AN47=21,K47,0)</f>
        <v>0</v>
      </c>
      <c r="AN47" s="22">
        <v>21</v>
      </c>
      <c r="AO47" s="22">
        <f>H47*0</f>
        <v>0</v>
      </c>
      <c r="AP47" s="22">
        <f>H47*(1-0)</f>
        <v>0</v>
      </c>
      <c r="AQ47" s="13" t="s">
        <v>316</v>
      </c>
      <c r="AV47" s="22">
        <f>AW47+AX47</f>
        <v>0</v>
      </c>
      <c r="AW47" s="22">
        <f>G47*AO47</f>
        <v>0</v>
      </c>
      <c r="AX47" s="22">
        <f>G47*AP47</f>
        <v>0</v>
      </c>
      <c r="AY47" s="13" t="s">
        <v>81</v>
      </c>
      <c r="AZ47" s="13" t="s">
        <v>165</v>
      </c>
      <c r="BA47" s="18" t="s">
        <v>241</v>
      </c>
      <c r="BC47" s="22">
        <f>AW47+AX47</f>
        <v>0</v>
      </c>
      <c r="BD47" s="22">
        <f>H47/(100-BE47)*100</f>
        <v>0</v>
      </c>
      <c r="BE47" s="22">
        <v>0</v>
      </c>
      <c r="BF47" s="22">
        <f>M47</f>
        <v>0.25578</v>
      </c>
      <c r="BH47" s="22">
        <f>G47*AO47</f>
        <v>0</v>
      </c>
      <c r="BI47" s="22">
        <f>G47*AP47</f>
        <v>0</v>
      </c>
      <c r="BJ47" s="22">
        <f>G47*H47</f>
        <v>0</v>
      </c>
      <c r="BK47" s="22"/>
      <c r="BL47" s="22">
        <v>767</v>
      </c>
    </row>
    <row r="48" spans="1:64" ht="15" customHeight="1">
      <c r="A48" s="43" t="s">
        <v>19</v>
      </c>
      <c r="B48" s="39" t="s">
        <v>221</v>
      </c>
      <c r="C48" s="39" t="s">
        <v>154</v>
      </c>
      <c r="D48" s="48" t="s">
        <v>59</v>
      </c>
      <c r="E48" s="48"/>
      <c r="F48" s="39" t="s">
        <v>309</v>
      </c>
      <c r="G48" s="22">
        <v>63.945</v>
      </c>
      <c r="H48" s="22">
        <v>0</v>
      </c>
      <c r="I48" s="22">
        <f>G48*AO48</f>
        <v>0</v>
      </c>
      <c r="J48" s="22">
        <f>G48*AP48</f>
        <v>0</v>
      </c>
      <c r="K48" s="22">
        <f>G48*H48</f>
        <v>0</v>
      </c>
      <c r="L48" s="22">
        <v>0.00473</v>
      </c>
      <c r="M48" s="22">
        <f>G48*L48</f>
        <v>0.30245985</v>
      </c>
      <c r="N48" s="35" t="s">
        <v>353</v>
      </c>
      <c r="Z48" s="22">
        <f>IF(AQ48="5",BJ48,0)</f>
        <v>0</v>
      </c>
      <c r="AB48" s="22">
        <f>IF(AQ48="1",BH48,0)</f>
        <v>0</v>
      </c>
      <c r="AC48" s="22">
        <f>IF(AQ48="1",BI48,0)</f>
        <v>0</v>
      </c>
      <c r="AD48" s="22">
        <f>IF(AQ48="7",BH48,0)</f>
        <v>0</v>
      </c>
      <c r="AE48" s="22">
        <f>IF(AQ48="7",BI48,0)</f>
        <v>0</v>
      </c>
      <c r="AF48" s="22">
        <f>IF(AQ48="2",BH48,0)</f>
        <v>0</v>
      </c>
      <c r="AG48" s="22">
        <f>IF(AQ48="2",BI48,0)</f>
        <v>0</v>
      </c>
      <c r="AH48" s="22">
        <f>IF(AQ48="0",BJ48,0)</f>
        <v>0</v>
      </c>
      <c r="AI48" s="18" t="s">
        <v>221</v>
      </c>
      <c r="AJ48" s="22">
        <f>IF(AN48=0,K48,0)</f>
        <v>0</v>
      </c>
      <c r="AK48" s="22">
        <f>IF(AN48=15,K48,0)</f>
        <v>0</v>
      </c>
      <c r="AL48" s="22">
        <f>IF(AN48=21,K48,0)</f>
        <v>0</v>
      </c>
      <c r="AN48" s="22">
        <v>21</v>
      </c>
      <c r="AO48" s="22">
        <f>H48*0.736456301172307</f>
        <v>0</v>
      </c>
      <c r="AP48" s="22">
        <f>H48*(1-0.736456301172307)</f>
        <v>0</v>
      </c>
      <c r="AQ48" s="13" t="s">
        <v>316</v>
      </c>
      <c r="AV48" s="22">
        <f>AW48+AX48</f>
        <v>0</v>
      </c>
      <c r="AW48" s="22">
        <f>G48*AO48</f>
        <v>0</v>
      </c>
      <c r="AX48" s="22">
        <f>G48*AP48</f>
        <v>0</v>
      </c>
      <c r="AY48" s="13" t="s">
        <v>81</v>
      </c>
      <c r="AZ48" s="13" t="s">
        <v>165</v>
      </c>
      <c r="BA48" s="18" t="s">
        <v>241</v>
      </c>
      <c r="BC48" s="22">
        <f>AW48+AX48</f>
        <v>0</v>
      </c>
      <c r="BD48" s="22">
        <f>H48/(100-BE48)*100</f>
        <v>0</v>
      </c>
      <c r="BE48" s="22">
        <v>0</v>
      </c>
      <c r="BF48" s="22">
        <f>M48</f>
        <v>0.30245985</v>
      </c>
      <c r="BH48" s="22">
        <f>G48*AO48</f>
        <v>0</v>
      </c>
      <c r="BI48" s="22">
        <f>G48*AP48</f>
        <v>0</v>
      </c>
      <c r="BJ48" s="22">
        <f>G48*H48</f>
        <v>0</v>
      </c>
      <c r="BK48" s="22"/>
      <c r="BL48" s="22">
        <v>767</v>
      </c>
    </row>
    <row r="49" spans="1:47" ht="15" customHeight="1">
      <c r="A49" s="33" t="s">
        <v>221</v>
      </c>
      <c r="B49" s="41" t="s">
        <v>221</v>
      </c>
      <c r="C49" s="41" t="s">
        <v>340</v>
      </c>
      <c r="D49" s="65" t="s">
        <v>278</v>
      </c>
      <c r="E49" s="65"/>
      <c r="F49" s="28" t="s">
        <v>294</v>
      </c>
      <c r="G49" s="28" t="s">
        <v>294</v>
      </c>
      <c r="H49" s="28" t="s">
        <v>294</v>
      </c>
      <c r="I49" s="26">
        <f>SUM(I50:I54)</f>
        <v>0</v>
      </c>
      <c r="J49" s="26">
        <f>SUM(J50:J54)</f>
        <v>0</v>
      </c>
      <c r="K49" s="26">
        <f>SUM(K50:K54)</f>
        <v>0</v>
      </c>
      <c r="L49" s="18" t="s">
        <v>221</v>
      </c>
      <c r="M49" s="26">
        <f>SUM(M50:M54)</f>
        <v>2.1961999999999997</v>
      </c>
      <c r="N49" s="34" t="s">
        <v>221</v>
      </c>
      <c r="AI49" s="18" t="s">
        <v>221</v>
      </c>
      <c r="AS49" s="26">
        <f>SUM(AJ50:AJ54)</f>
        <v>0</v>
      </c>
      <c r="AT49" s="26">
        <f>SUM(AK50:AK54)</f>
        <v>0</v>
      </c>
      <c r="AU49" s="26">
        <f>SUM(AL50:AL54)</f>
        <v>0</v>
      </c>
    </row>
    <row r="50" spans="1:64" ht="15" customHeight="1">
      <c r="A50" s="43" t="s">
        <v>205</v>
      </c>
      <c r="B50" s="39" t="s">
        <v>221</v>
      </c>
      <c r="C50" s="39" t="s">
        <v>58</v>
      </c>
      <c r="D50" s="48" t="s">
        <v>174</v>
      </c>
      <c r="E50" s="48"/>
      <c r="F50" s="39" t="s">
        <v>309</v>
      </c>
      <c r="G50" s="22">
        <v>12</v>
      </c>
      <c r="H50" s="22">
        <v>0</v>
      </c>
      <c r="I50" s="22">
        <f>G50*AO50</f>
        <v>0</v>
      </c>
      <c r="J50" s="22">
        <f>G50*AP50</f>
        <v>0</v>
      </c>
      <c r="K50" s="22">
        <f>G50*H50</f>
        <v>0</v>
      </c>
      <c r="L50" s="22">
        <v>0.087</v>
      </c>
      <c r="M50" s="22">
        <f>G50*L50</f>
        <v>1.044</v>
      </c>
      <c r="N50" s="35" t="s">
        <v>353</v>
      </c>
      <c r="Z50" s="22">
        <f>IF(AQ50="5",BJ50,0)</f>
        <v>0</v>
      </c>
      <c r="AB50" s="22">
        <f>IF(AQ50="1",BH50,0)</f>
        <v>0</v>
      </c>
      <c r="AC50" s="22">
        <f>IF(AQ50="1",BI50,0)</f>
        <v>0</v>
      </c>
      <c r="AD50" s="22">
        <f>IF(AQ50="7",BH50,0)</f>
        <v>0</v>
      </c>
      <c r="AE50" s="22">
        <f>IF(AQ50="7",BI50,0)</f>
        <v>0</v>
      </c>
      <c r="AF50" s="22">
        <f>IF(AQ50="2",BH50,0)</f>
        <v>0</v>
      </c>
      <c r="AG50" s="22">
        <f>IF(AQ50="2",BI50,0)</f>
        <v>0</v>
      </c>
      <c r="AH50" s="22">
        <f>IF(AQ50="0",BJ50,0)</f>
        <v>0</v>
      </c>
      <c r="AI50" s="18" t="s">
        <v>221</v>
      </c>
      <c r="AJ50" s="22">
        <f>IF(AN50=0,K50,0)</f>
        <v>0</v>
      </c>
      <c r="AK50" s="22">
        <f>IF(AN50=15,K50,0)</f>
        <v>0</v>
      </c>
      <c r="AL50" s="22">
        <f>IF(AN50=21,K50,0)</f>
        <v>0</v>
      </c>
      <c r="AN50" s="22">
        <v>21</v>
      </c>
      <c r="AO50" s="22">
        <f>H50*0</f>
        <v>0</v>
      </c>
      <c r="AP50" s="22">
        <f>H50*(1-0)</f>
        <v>0</v>
      </c>
      <c r="AQ50" s="13" t="s">
        <v>316</v>
      </c>
      <c r="AV50" s="22">
        <f>AW50+AX50</f>
        <v>0</v>
      </c>
      <c r="AW50" s="22">
        <f>G50*AO50</f>
        <v>0</v>
      </c>
      <c r="AX50" s="22">
        <f>G50*AP50</f>
        <v>0</v>
      </c>
      <c r="AY50" s="13" t="s">
        <v>324</v>
      </c>
      <c r="AZ50" s="13" t="s">
        <v>65</v>
      </c>
      <c r="BA50" s="18" t="s">
        <v>241</v>
      </c>
      <c r="BC50" s="22">
        <f>AW50+AX50</f>
        <v>0</v>
      </c>
      <c r="BD50" s="22">
        <f>H50/(100-BE50)*100</f>
        <v>0</v>
      </c>
      <c r="BE50" s="22">
        <v>0</v>
      </c>
      <c r="BF50" s="22">
        <f>M50</f>
        <v>1.044</v>
      </c>
      <c r="BH50" s="22">
        <f>G50*AO50</f>
        <v>0</v>
      </c>
      <c r="BI50" s="22">
        <f>G50*AP50</f>
        <v>0</v>
      </c>
      <c r="BJ50" s="22">
        <f>G50*H50</f>
        <v>0</v>
      </c>
      <c r="BK50" s="22"/>
      <c r="BL50" s="22">
        <v>771</v>
      </c>
    </row>
    <row r="51" spans="1:64" ht="15" customHeight="1">
      <c r="A51" s="43" t="s">
        <v>182</v>
      </c>
      <c r="B51" s="39" t="s">
        <v>221</v>
      </c>
      <c r="C51" s="39" t="s">
        <v>114</v>
      </c>
      <c r="D51" s="48" t="s">
        <v>75</v>
      </c>
      <c r="E51" s="48"/>
      <c r="F51" s="39" t="s">
        <v>309</v>
      </c>
      <c r="G51" s="22">
        <v>15</v>
      </c>
      <c r="H51" s="22">
        <v>0</v>
      </c>
      <c r="I51" s="22">
        <f>G51*AO51</f>
        <v>0</v>
      </c>
      <c r="J51" s="22">
        <f>G51*AP51</f>
        <v>0</v>
      </c>
      <c r="K51" s="22">
        <f>G51*H51</f>
        <v>0</v>
      </c>
      <c r="L51" s="22">
        <v>0</v>
      </c>
      <c r="M51" s="22">
        <f>G51*L51</f>
        <v>0</v>
      </c>
      <c r="N51" s="35" t="s">
        <v>353</v>
      </c>
      <c r="Z51" s="22">
        <f>IF(AQ51="5",BJ51,0)</f>
        <v>0</v>
      </c>
      <c r="AB51" s="22">
        <f>IF(AQ51="1",BH51,0)</f>
        <v>0</v>
      </c>
      <c r="AC51" s="22">
        <f>IF(AQ51="1",BI51,0)</f>
        <v>0</v>
      </c>
      <c r="AD51" s="22">
        <f>IF(AQ51="7",BH51,0)</f>
        <v>0</v>
      </c>
      <c r="AE51" s="22">
        <f>IF(AQ51="7",BI51,0)</f>
        <v>0</v>
      </c>
      <c r="AF51" s="22">
        <f>IF(AQ51="2",BH51,0)</f>
        <v>0</v>
      </c>
      <c r="AG51" s="22">
        <f>IF(AQ51="2",BI51,0)</f>
        <v>0</v>
      </c>
      <c r="AH51" s="22">
        <f>IF(AQ51="0",BJ51,0)</f>
        <v>0</v>
      </c>
      <c r="AI51" s="18" t="s">
        <v>221</v>
      </c>
      <c r="AJ51" s="22">
        <f>IF(AN51=0,K51,0)</f>
        <v>0</v>
      </c>
      <c r="AK51" s="22">
        <f>IF(AN51=15,K51,0)</f>
        <v>0</v>
      </c>
      <c r="AL51" s="22">
        <f>IF(AN51=21,K51,0)</f>
        <v>0</v>
      </c>
      <c r="AN51" s="22">
        <v>21</v>
      </c>
      <c r="AO51" s="22">
        <f>H51*0.462889066241022</f>
        <v>0</v>
      </c>
      <c r="AP51" s="22">
        <f>H51*(1-0.462889066241022)</f>
        <v>0</v>
      </c>
      <c r="AQ51" s="13" t="s">
        <v>316</v>
      </c>
      <c r="AV51" s="22">
        <f>AW51+AX51</f>
        <v>0</v>
      </c>
      <c r="AW51" s="22">
        <f>G51*AO51</f>
        <v>0</v>
      </c>
      <c r="AX51" s="22">
        <f>G51*AP51</f>
        <v>0</v>
      </c>
      <c r="AY51" s="13" t="s">
        <v>324</v>
      </c>
      <c r="AZ51" s="13" t="s">
        <v>65</v>
      </c>
      <c r="BA51" s="18" t="s">
        <v>241</v>
      </c>
      <c r="BC51" s="22">
        <f>AW51+AX51</f>
        <v>0</v>
      </c>
      <c r="BD51" s="22">
        <f>H51/(100-BE51)*100</f>
        <v>0</v>
      </c>
      <c r="BE51" s="22">
        <v>0</v>
      </c>
      <c r="BF51" s="22">
        <f>M51</f>
        <v>0</v>
      </c>
      <c r="BH51" s="22">
        <f>G51*AO51</f>
        <v>0</v>
      </c>
      <c r="BI51" s="22">
        <f>G51*AP51</f>
        <v>0</v>
      </c>
      <c r="BJ51" s="22">
        <f>G51*H51</f>
        <v>0</v>
      </c>
      <c r="BK51" s="22"/>
      <c r="BL51" s="22">
        <v>771</v>
      </c>
    </row>
    <row r="52" spans="1:64" ht="15" customHeight="1">
      <c r="A52" s="43" t="s">
        <v>266</v>
      </c>
      <c r="B52" s="39" t="s">
        <v>221</v>
      </c>
      <c r="C52" s="39" t="s">
        <v>41</v>
      </c>
      <c r="D52" s="48" t="s">
        <v>214</v>
      </c>
      <c r="E52" s="48"/>
      <c r="F52" s="39" t="s">
        <v>309</v>
      </c>
      <c r="G52" s="22">
        <v>32</v>
      </c>
      <c r="H52" s="22">
        <v>0</v>
      </c>
      <c r="I52" s="22">
        <f>G52*AO52</f>
        <v>0</v>
      </c>
      <c r="J52" s="22">
        <f>G52*AP52</f>
        <v>0</v>
      </c>
      <c r="K52" s="22">
        <f>G52*H52</f>
        <v>0</v>
      </c>
      <c r="L52" s="22">
        <v>8E-05</v>
      </c>
      <c r="M52" s="22">
        <f>G52*L52</f>
        <v>0.00256</v>
      </c>
      <c r="N52" s="35" t="s">
        <v>353</v>
      </c>
      <c r="Z52" s="22">
        <f>IF(AQ52="5",BJ52,0)</f>
        <v>0</v>
      </c>
      <c r="AB52" s="22">
        <f>IF(AQ52="1",BH52,0)</f>
        <v>0</v>
      </c>
      <c r="AC52" s="22">
        <f>IF(AQ52="1",BI52,0)</f>
        <v>0</v>
      </c>
      <c r="AD52" s="22">
        <f>IF(AQ52="7",BH52,0)</f>
        <v>0</v>
      </c>
      <c r="AE52" s="22">
        <f>IF(AQ52="7",BI52,0)</f>
        <v>0</v>
      </c>
      <c r="AF52" s="22">
        <f>IF(AQ52="2",BH52,0)</f>
        <v>0</v>
      </c>
      <c r="AG52" s="22">
        <f>IF(AQ52="2",BI52,0)</f>
        <v>0</v>
      </c>
      <c r="AH52" s="22">
        <f>IF(AQ52="0",BJ52,0)</f>
        <v>0</v>
      </c>
      <c r="AI52" s="18" t="s">
        <v>221</v>
      </c>
      <c r="AJ52" s="22">
        <f>IF(AN52=0,K52,0)</f>
        <v>0</v>
      </c>
      <c r="AK52" s="22">
        <f>IF(AN52=15,K52,0)</f>
        <v>0</v>
      </c>
      <c r="AL52" s="22">
        <f>IF(AN52=21,K52,0)</f>
        <v>0</v>
      </c>
      <c r="AN52" s="22">
        <v>21</v>
      </c>
      <c r="AO52" s="22">
        <f>H52*0.58970398970399</f>
        <v>0</v>
      </c>
      <c r="AP52" s="22">
        <f>H52*(1-0.58970398970399)</f>
        <v>0</v>
      </c>
      <c r="AQ52" s="13" t="s">
        <v>316</v>
      </c>
      <c r="AV52" s="22">
        <f>AW52+AX52</f>
        <v>0</v>
      </c>
      <c r="AW52" s="22">
        <f>G52*AO52</f>
        <v>0</v>
      </c>
      <c r="AX52" s="22">
        <f>G52*AP52</f>
        <v>0</v>
      </c>
      <c r="AY52" s="13" t="s">
        <v>324</v>
      </c>
      <c r="AZ52" s="13" t="s">
        <v>65</v>
      </c>
      <c r="BA52" s="18" t="s">
        <v>241</v>
      </c>
      <c r="BC52" s="22">
        <f>AW52+AX52</f>
        <v>0</v>
      </c>
      <c r="BD52" s="22">
        <f>H52/(100-BE52)*100</f>
        <v>0</v>
      </c>
      <c r="BE52" s="22">
        <v>0</v>
      </c>
      <c r="BF52" s="22">
        <f>M52</f>
        <v>0.00256</v>
      </c>
      <c r="BH52" s="22">
        <f>G52*AO52</f>
        <v>0</v>
      </c>
      <c r="BI52" s="22">
        <f>G52*AP52</f>
        <v>0</v>
      </c>
      <c r="BJ52" s="22">
        <f>G52*H52</f>
        <v>0</v>
      </c>
      <c r="BK52" s="22"/>
      <c r="BL52" s="22">
        <v>771</v>
      </c>
    </row>
    <row r="53" spans="1:64" ht="15" customHeight="1">
      <c r="A53" s="43" t="s">
        <v>60</v>
      </c>
      <c r="B53" s="39" t="s">
        <v>221</v>
      </c>
      <c r="C53" s="39" t="s">
        <v>272</v>
      </c>
      <c r="D53" s="48" t="s">
        <v>159</v>
      </c>
      <c r="E53" s="48"/>
      <c r="F53" s="39" t="s">
        <v>309</v>
      </c>
      <c r="G53" s="22">
        <v>15</v>
      </c>
      <c r="H53" s="22">
        <v>0</v>
      </c>
      <c r="I53" s="22">
        <f>G53*AO53</f>
        <v>0</v>
      </c>
      <c r="J53" s="22">
        <f>G53*AP53</f>
        <v>0</v>
      </c>
      <c r="K53" s="22">
        <f>G53*H53</f>
        <v>0</v>
      </c>
      <c r="L53" s="22">
        <v>0.0022</v>
      </c>
      <c r="M53" s="22">
        <f>G53*L53</f>
        <v>0.033</v>
      </c>
      <c r="N53" s="35" t="s">
        <v>353</v>
      </c>
      <c r="Z53" s="22">
        <f>IF(AQ53="5",BJ53,0)</f>
        <v>0</v>
      </c>
      <c r="AB53" s="22">
        <f>IF(AQ53="1",BH53,0)</f>
        <v>0</v>
      </c>
      <c r="AC53" s="22">
        <f>IF(AQ53="1",BI53,0)</f>
        <v>0</v>
      </c>
      <c r="AD53" s="22">
        <f>IF(AQ53="7",BH53,0)</f>
        <v>0</v>
      </c>
      <c r="AE53" s="22">
        <f>IF(AQ53="7",BI53,0)</f>
        <v>0</v>
      </c>
      <c r="AF53" s="22">
        <f>IF(AQ53="2",BH53,0)</f>
        <v>0</v>
      </c>
      <c r="AG53" s="22">
        <f>IF(AQ53="2",BI53,0)</f>
        <v>0</v>
      </c>
      <c r="AH53" s="22">
        <f>IF(AQ53="0",BJ53,0)</f>
        <v>0</v>
      </c>
      <c r="AI53" s="18" t="s">
        <v>221</v>
      </c>
      <c r="AJ53" s="22">
        <f>IF(AN53=0,K53,0)</f>
        <v>0</v>
      </c>
      <c r="AK53" s="22">
        <f>IF(AN53=15,K53,0)</f>
        <v>0</v>
      </c>
      <c r="AL53" s="22">
        <f>IF(AN53=21,K53,0)</f>
        <v>0</v>
      </c>
      <c r="AN53" s="22">
        <v>21</v>
      </c>
      <c r="AO53" s="22">
        <f>H53*0.319319614734526</f>
        <v>0</v>
      </c>
      <c r="AP53" s="22">
        <f>H53*(1-0.319319614734526)</f>
        <v>0</v>
      </c>
      <c r="AQ53" s="13" t="s">
        <v>316</v>
      </c>
      <c r="AV53" s="22">
        <f>AW53+AX53</f>
        <v>0</v>
      </c>
      <c r="AW53" s="22">
        <f>G53*AO53</f>
        <v>0</v>
      </c>
      <c r="AX53" s="22">
        <f>G53*AP53</f>
        <v>0</v>
      </c>
      <c r="AY53" s="13" t="s">
        <v>324</v>
      </c>
      <c r="AZ53" s="13" t="s">
        <v>65</v>
      </c>
      <c r="BA53" s="18" t="s">
        <v>241</v>
      </c>
      <c r="BC53" s="22">
        <f>AW53+AX53</f>
        <v>0</v>
      </c>
      <c r="BD53" s="22">
        <f>H53/(100-BE53)*100</f>
        <v>0</v>
      </c>
      <c r="BE53" s="22">
        <v>0</v>
      </c>
      <c r="BF53" s="22">
        <f>M53</f>
        <v>0.033</v>
      </c>
      <c r="BH53" s="22">
        <f>G53*AO53</f>
        <v>0</v>
      </c>
      <c r="BI53" s="22">
        <f>G53*AP53</f>
        <v>0</v>
      </c>
      <c r="BJ53" s="22">
        <f>G53*H53</f>
        <v>0</v>
      </c>
      <c r="BK53" s="22"/>
      <c r="BL53" s="22">
        <v>771</v>
      </c>
    </row>
    <row r="54" spans="1:64" ht="15" customHeight="1">
      <c r="A54" s="43" t="s">
        <v>346</v>
      </c>
      <c r="B54" s="39" t="s">
        <v>221</v>
      </c>
      <c r="C54" s="39" t="s">
        <v>244</v>
      </c>
      <c r="D54" s="48" t="s">
        <v>231</v>
      </c>
      <c r="E54" s="48"/>
      <c r="F54" s="39" t="s">
        <v>263</v>
      </c>
      <c r="G54" s="22">
        <v>22.4</v>
      </c>
      <c r="H54" s="22">
        <v>0</v>
      </c>
      <c r="I54" s="22">
        <f>G54*AO54</f>
        <v>0</v>
      </c>
      <c r="J54" s="22">
        <f>G54*AP54</f>
        <v>0</v>
      </c>
      <c r="K54" s="22">
        <f>G54*H54</f>
        <v>0</v>
      </c>
      <c r="L54" s="22">
        <v>0.04985</v>
      </c>
      <c r="M54" s="22">
        <f>G54*L54</f>
        <v>1.1166399999999999</v>
      </c>
      <c r="N54" s="35" t="s">
        <v>353</v>
      </c>
      <c r="Z54" s="22">
        <f>IF(AQ54="5",BJ54,0)</f>
        <v>0</v>
      </c>
      <c r="AB54" s="22">
        <f>IF(AQ54="1",BH54,0)</f>
        <v>0</v>
      </c>
      <c r="AC54" s="22">
        <f>IF(AQ54="1",BI54,0)</f>
        <v>0</v>
      </c>
      <c r="AD54" s="22">
        <f>IF(AQ54="7",BH54,0)</f>
        <v>0</v>
      </c>
      <c r="AE54" s="22">
        <f>IF(AQ54="7",BI54,0)</f>
        <v>0</v>
      </c>
      <c r="AF54" s="22">
        <f>IF(AQ54="2",BH54,0)</f>
        <v>0</v>
      </c>
      <c r="AG54" s="22">
        <f>IF(AQ54="2",BI54,0)</f>
        <v>0</v>
      </c>
      <c r="AH54" s="22">
        <f>IF(AQ54="0",BJ54,0)</f>
        <v>0</v>
      </c>
      <c r="AI54" s="18" t="s">
        <v>221</v>
      </c>
      <c r="AJ54" s="22">
        <f>IF(AN54=0,K54,0)</f>
        <v>0</v>
      </c>
      <c r="AK54" s="22">
        <f>IF(AN54=15,K54,0)</f>
        <v>0</v>
      </c>
      <c r="AL54" s="22">
        <f>IF(AN54=21,K54,0)</f>
        <v>0</v>
      </c>
      <c r="AN54" s="22">
        <v>21</v>
      </c>
      <c r="AO54" s="22">
        <f>H54*0.353305064763885</f>
        <v>0</v>
      </c>
      <c r="AP54" s="22">
        <f>H54*(1-0.353305064763885)</f>
        <v>0</v>
      </c>
      <c r="AQ54" s="13" t="s">
        <v>316</v>
      </c>
      <c r="AV54" s="22">
        <f>AW54+AX54</f>
        <v>0</v>
      </c>
      <c r="AW54" s="22">
        <f>G54*AO54</f>
        <v>0</v>
      </c>
      <c r="AX54" s="22">
        <f>G54*AP54</f>
        <v>0</v>
      </c>
      <c r="AY54" s="13" t="s">
        <v>324</v>
      </c>
      <c r="AZ54" s="13" t="s">
        <v>65</v>
      </c>
      <c r="BA54" s="18" t="s">
        <v>241</v>
      </c>
      <c r="BC54" s="22">
        <f>AW54+AX54</f>
        <v>0</v>
      </c>
      <c r="BD54" s="22">
        <f>H54/(100-BE54)*100</f>
        <v>0</v>
      </c>
      <c r="BE54" s="22">
        <v>0</v>
      </c>
      <c r="BF54" s="22">
        <f>M54</f>
        <v>1.1166399999999999</v>
      </c>
      <c r="BH54" s="22">
        <f>G54*AO54</f>
        <v>0</v>
      </c>
      <c r="BI54" s="22">
        <f>G54*AP54</f>
        <v>0</v>
      </c>
      <c r="BJ54" s="22">
        <f>G54*H54</f>
        <v>0</v>
      </c>
      <c r="BK54" s="22"/>
      <c r="BL54" s="22">
        <v>771</v>
      </c>
    </row>
    <row r="55" spans="1:47" ht="15" customHeight="1">
      <c r="A55" s="33" t="s">
        <v>221</v>
      </c>
      <c r="B55" s="41" t="s">
        <v>221</v>
      </c>
      <c r="C55" s="41" t="s">
        <v>259</v>
      </c>
      <c r="D55" s="65" t="s">
        <v>134</v>
      </c>
      <c r="E55" s="65"/>
      <c r="F55" s="28" t="s">
        <v>294</v>
      </c>
      <c r="G55" s="28" t="s">
        <v>294</v>
      </c>
      <c r="H55" s="28" t="s">
        <v>294</v>
      </c>
      <c r="I55" s="26">
        <f>SUM(I56:I62)</f>
        <v>0</v>
      </c>
      <c r="J55" s="26">
        <f>SUM(J56:J62)</f>
        <v>0</v>
      </c>
      <c r="K55" s="26">
        <f>SUM(K56:K62)</f>
        <v>0</v>
      </c>
      <c r="L55" s="18" t="s">
        <v>221</v>
      </c>
      <c r="M55" s="26">
        <f>SUM(M56:M62)</f>
        <v>2.5719080000000005</v>
      </c>
      <c r="N55" s="34" t="s">
        <v>221</v>
      </c>
      <c r="AI55" s="18" t="s">
        <v>221</v>
      </c>
      <c r="AS55" s="26">
        <f>SUM(AJ56:AJ62)</f>
        <v>0</v>
      </c>
      <c r="AT55" s="26">
        <f>SUM(AK56:AK62)</f>
        <v>0</v>
      </c>
      <c r="AU55" s="26">
        <f>SUM(AL56:AL62)</f>
        <v>0</v>
      </c>
    </row>
    <row r="56" spans="1:64" ht="15" customHeight="1">
      <c r="A56" s="43" t="s">
        <v>282</v>
      </c>
      <c r="B56" s="39" t="s">
        <v>221</v>
      </c>
      <c r="C56" s="39" t="s">
        <v>287</v>
      </c>
      <c r="D56" s="48" t="s">
        <v>322</v>
      </c>
      <c r="E56" s="48"/>
      <c r="F56" s="39" t="s">
        <v>309</v>
      </c>
      <c r="G56" s="22">
        <v>1.8</v>
      </c>
      <c r="H56" s="22">
        <v>0</v>
      </c>
      <c r="I56" s="22">
        <f aca="true" t="shared" si="48" ref="I56:I62">G56*AO56</f>
        <v>0</v>
      </c>
      <c r="J56" s="22">
        <f aca="true" t="shared" si="49" ref="J56:J62">G56*AP56</f>
        <v>0</v>
      </c>
      <c r="K56" s="22">
        <f aca="true" t="shared" si="50" ref="K56:K62">G56*H56</f>
        <v>0</v>
      </c>
      <c r="L56" s="22">
        <v>0.00386</v>
      </c>
      <c r="M56" s="22">
        <f aca="true" t="shared" si="51" ref="M56:M62">G56*L56</f>
        <v>0.006948</v>
      </c>
      <c r="N56" s="35" t="s">
        <v>353</v>
      </c>
      <c r="Z56" s="22">
        <f aca="true" t="shared" si="52" ref="Z56:Z62">IF(AQ56="5",BJ56,0)</f>
        <v>0</v>
      </c>
      <c r="AB56" s="22">
        <f aca="true" t="shared" si="53" ref="AB56:AB62">IF(AQ56="1",BH56,0)</f>
        <v>0</v>
      </c>
      <c r="AC56" s="22">
        <f aca="true" t="shared" si="54" ref="AC56:AC62">IF(AQ56="1",BI56,0)</f>
        <v>0</v>
      </c>
      <c r="AD56" s="22">
        <f aca="true" t="shared" si="55" ref="AD56:AD62">IF(AQ56="7",BH56,0)</f>
        <v>0</v>
      </c>
      <c r="AE56" s="22">
        <f aca="true" t="shared" si="56" ref="AE56:AE62">IF(AQ56="7",BI56,0)</f>
        <v>0</v>
      </c>
      <c r="AF56" s="22">
        <f aca="true" t="shared" si="57" ref="AF56:AF62">IF(AQ56="2",BH56,0)</f>
        <v>0</v>
      </c>
      <c r="AG56" s="22">
        <f aca="true" t="shared" si="58" ref="AG56:AG62">IF(AQ56="2",BI56,0)</f>
        <v>0</v>
      </c>
      <c r="AH56" s="22">
        <f aca="true" t="shared" si="59" ref="AH56:AH62">IF(AQ56="0",BJ56,0)</f>
        <v>0</v>
      </c>
      <c r="AI56" s="18" t="s">
        <v>221</v>
      </c>
      <c r="AJ56" s="22">
        <f aca="true" t="shared" si="60" ref="AJ56:AJ62">IF(AN56=0,K56,0)</f>
        <v>0</v>
      </c>
      <c r="AK56" s="22">
        <f aca="true" t="shared" si="61" ref="AK56:AK62">IF(AN56=15,K56,0)</f>
        <v>0</v>
      </c>
      <c r="AL56" s="22">
        <f aca="true" t="shared" si="62" ref="AL56:AL62">IF(AN56=21,K56,0)</f>
        <v>0</v>
      </c>
      <c r="AN56" s="22">
        <v>21</v>
      </c>
      <c r="AO56" s="22">
        <f>H56*0.515909319346851</f>
        <v>0</v>
      </c>
      <c r="AP56" s="22">
        <f>H56*(1-0.515909319346851)</f>
        <v>0</v>
      </c>
      <c r="AQ56" s="13" t="s">
        <v>316</v>
      </c>
      <c r="AV56" s="22">
        <f aca="true" t="shared" si="63" ref="AV56:AV62">AW56+AX56</f>
        <v>0</v>
      </c>
      <c r="AW56" s="22">
        <f aca="true" t="shared" si="64" ref="AW56:AW62">G56*AO56</f>
        <v>0</v>
      </c>
      <c r="AX56" s="22">
        <f aca="true" t="shared" si="65" ref="AX56:AX62">G56*AP56</f>
        <v>0</v>
      </c>
      <c r="AY56" s="13" t="s">
        <v>143</v>
      </c>
      <c r="AZ56" s="13" t="s">
        <v>137</v>
      </c>
      <c r="BA56" s="18" t="s">
        <v>241</v>
      </c>
      <c r="BC56" s="22">
        <f aca="true" t="shared" si="66" ref="BC56:BC62">AW56+AX56</f>
        <v>0</v>
      </c>
      <c r="BD56" s="22">
        <f aca="true" t="shared" si="67" ref="BD56:BD62">H56/(100-BE56)*100</f>
        <v>0</v>
      </c>
      <c r="BE56" s="22">
        <v>0</v>
      </c>
      <c r="BF56" s="22">
        <f aca="true" t="shared" si="68" ref="BF56:BF62">M56</f>
        <v>0.006948</v>
      </c>
      <c r="BH56" s="22">
        <f aca="true" t="shared" si="69" ref="BH56:BH62">G56*AO56</f>
        <v>0</v>
      </c>
      <c r="BI56" s="22">
        <f aca="true" t="shared" si="70" ref="BI56:BI62">G56*AP56</f>
        <v>0</v>
      </c>
      <c r="BJ56" s="22">
        <f aca="true" t="shared" si="71" ref="BJ56:BJ62">G56*H56</f>
        <v>0</v>
      </c>
      <c r="BK56" s="22"/>
      <c r="BL56" s="22">
        <v>781</v>
      </c>
    </row>
    <row r="57" spans="1:64" ht="15" customHeight="1">
      <c r="A57" s="43" t="s">
        <v>180</v>
      </c>
      <c r="B57" s="39" t="s">
        <v>221</v>
      </c>
      <c r="C57" s="39" t="s">
        <v>108</v>
      </c>
      <c r="D57" s="48" t="s">
        <v>264</v>
      </c>
      <c r="E57" s="48"/>
      <c r="F57" s="39" t="s">
        <v>309</v>
      </c>
      <c r="G57" s="22">
        <v>1.8</v>
      </c>
      <c r="H57" s="22">
        <v>0</v>
      </c>
      <c r="I57" s="22">
        <f t="shared" si="48"/>
        <v>0</v>
      </c>
      <c r="J57" s="22">
        <f t="shared" si="49"/>
        <v>0</v>
      </c>
      <c r="K57" s="22">
        <f t="shared" si="50"/>
        <v>0</v>
      </c>
      <c r="L57" s="22">
        <v>0.068</v>
      </c>
      <c r="M57" s="22">
        <f t="shared" si="51"/>
        <v>0.12240000000000001</v>
      </c>
      <c r="N57" s="35" t="s">
        <v>353</v>
      </c>
      <c r="Z57" s="22">
        <f t="shared" si="52"/>
        <v>0</v>
      </c>
      <c r="AB57" s="22">
        <f t="shared" si="53"/>
        <v>0</v>
      </c>
      <c r="AC57" s="22">
        <f t="shared" si="54"/>
        <v>0</v>
      </c>
      <c r="AD57" s="22">
        <f t="shared" si="55"/>
        <v>0</v>
      </c>
      <c r="AE57" s="22">
        <f t="shared" si="56"/>
        <v>0</v>
      </c>
      <c r="AF57" s="22">
        <f t="shared" si="57"/>
        <v>0</v>
      </c>
      <c r="AG57" s="22">
        <f t="shared" si="58"/>
        <v>0</v>
      </c>
      <c r="AH57" s="22">
        <f t="shared" si="59"/>
        <v>0</v>
      </c>
      <c r="AI57" s="18" t="s">
        <v>221</v>
      </c>
      <c r="AJ57" s="22">
        <f t="shared" si="60"/>
        <v>0</v>
      </c>
      <c r="AK57" s="22">
        <f t="shared" si="61"/>
        <v>0</v>
      </c>
      <c r="AL57" s="22">
        <f t="shared" si="62"/>
        <v>0</v>
      </c>
      <c r="AN57" s="22">
        <v>21</v>
      </c>
      <c r="AO57" s="22">
        <f>H57*0</f>
        <v>0</v>
      </c>
      <c r="AP57" s="22">
        <f>H57*(1-0)</f>
        <v>0</v>
      </c>
      <c r="AQ57" s="13" t="s">
        <v>316</v>
      </c>
      <c r="AV57" s="22">
        <f t="shared" si="63"/>
        <v>0</v>
      </c>
      <c r="AW57" s="22">
        <f t="shared" si="64"/>
        <v>0</v>
      </c>
      <c r="AX57" s="22">
        <f t="shared" si="65"/>
        <v>0</v>
      </c>
      <c r="AY57" s="13" t="s">
        <v>143</v>
      </c>
      <c r="AZ57" s="13" t="s">
        <v>137</v>
      </c>
      <c r="BA57" s="18" t="s">
        <v>241</v>
      </c>
      <c r="BC57" s="22">
        <f t="shared" si="66"/>
        <v>0</v>
      </c>
      <c r="BD57" s="22">
        <f t="shared" si="67"/>
        <v>0</v>
      </c>
      <c r="BE57" s="22">
        <v>0</v>
      </c>
      <c r="BF57" s="22">
        <f t="shared" si="68"/>
        <v>0.12240000000000001</v>
      </c>
      <c r="BH57" s="22">
        <f t="shared" si="69"/>
        <v>0</v>
      </c>
      <c r="BI57" s="22">
        <f t="shared" si="70"/>
        <v>0</v>
      </c>
      <c r="BJ57" s="22">
        <f t="shared" si="71"/>
        <v>0</v>
      </c>
      <c r="BK57" s="22"/>
      <c r="BL57" s="22">
        <v>781</v>
      </c>
    </row>
    <row r="58" spans="1:64" ht="15" customHeight="1">
      <c r="A58" s="43" t="s">
        <v>308</v>
      </c>
      <c r="B58" s="39" t="s">
        <v>221</v>
      </c>
      <c r="C58" s="39" t="s">
        <v>111</v>
      </c>
      <c r="D58" s="48" t="s">
        <v>78</v>
      </c>
      <c r="E58" s="48"/>
      <c r="F58" s="39" t="s">
        <v>309</v>
      </c>
      <c r="G58" s="22">
        <v>32</v>
      </c>
      <c r="H58" s="22">
        <v>0</v>
      </c>
      <c r="I58" s="22">
        <f t="shared" si="48"/>
        <v>0</v>
      </c>
      <c r="J58" s="22">
        <f t="shared" si="49"/>
        <v>0</v>
      </c>
      <c r="K58" s="22">
        <f t="shared" si="50"/>
        <v>0</v>
      </c>
      <c r="L58" s="22">
        <v>3E-05</v>
      </c>
      <c r="M58" s="22">
        <f t="shared" si="51"/>
        <v>0.00096</v>
      </c>
      <c r="N58" s="35" t="s">
        <v>353</v>
      </c>
      <c r="Z58" s="22">
        <f t="shared" si="52"/>
        <v>0</v>
      </c>
      <c r="AB58" s="22">
        <f t="shared" si="53"/>
        <v>0</v>
      </c>
      <c r="AC58" s="22">
        <f t="shared" si="54"/>
        <v>0</v>
      </c>
      <c r="AD58" s="22">
        <f t="shared" si="55"/>
        <v>0</v>
      </c>
      <c r="AE58" s="22">
        <f t="shared" si="56"/>
        <v>0</v>
      </c>
      <c r="AF58" s="22">
        <f t="shared" si="57"/>
        <v>0</v>
      </c>
      <c r="AG58" s="22">
        <f t="shared" si="58"/>
        <v>0</v>
      </c>
      <c r="AH58" s="22">
        <f t="shared" si="59"/>
        <v>0</v>
      </c>
      <c r="AI58" s="18" t="s">
        <v>221</v>
      </c>
      <c r="AJ58" s="22">
        <f t="shared" si="60"/>
        <v>0</v>
      </c>
      <c r="AK58" s="22">
        <f t="shared" si="61"/>
        <v>0</v>
      </c>
      <c r="AL58" s="22">
        <f t="shared" si="62"/>
        <v>0</v>
      </c>
      <c r="AN58" s="22">
        <v>21</v>
      </c>
      <c r="AO58" s="22">
        <f>H58*0.148076923076923</f>
        <v>0</v>
      </c>
      <c r="AP58" s="22">
        <f>H58*(1-0.148076923076923)</f>
        <v>0</v>
      </c>
      <c r="AQ58" s="13" t="s">
        <v>316</v>
      </c>
      <c r="AV58" s="22">
        <f t="shared" si="63"/>
        <v>0</v>
      </c>
      <c r="AW58" s="22">
        <f t="shared" si="64"/>
        <v>0</v>
      </c>
      <c r="AX58" s="22">
        <f t="shared" si="65"/>
        <v>0</v>
      </c>
      <c r="AY58" s="13" t="s">
        <v>143</v>
      </c>
      <c r="AZ58" s="13" t="s">
        <v>137</v>
      </c>
      <c r="BA58" s="18" t="s">
        <v>241</v>
      </c>
      <c r="BC58" s="22">
        <f t="shared" si="66"/>
        <v>0</v>
      </c>
      <c r="BD58" s="22">
        <f t="shared" si="67"/>
        <v>0</v>
      </c>
      <c r="BE58" s="22">
        <v>0</v>
      </c>
      <c r="BF58" s="22">
        <f t="shared" si="68"/>
        <v>0.00096</v>
      </c>
      <c r="BH58" s="22">
        <f t="shared" si="69"/>
        <v>0</v>
      </c>
      <c r="BI58" s="22">
        <f t="shared" si="70"/>
        <v>0</v>
      </c>
      <c r="BJ58" s="22">
        <f t="shared" si="71"/>
        <v>0</v>
      </c>
      <c r="BK58" s="22"/>
      <c r="BL58" s="22">
        <v>781</v>
      </c>
    </row>
    <row r="59" spans="1:64" ht="15" customHeight="1">
      <c r="A59" s="43" t="s">
        <v>186</v>
      </c>
      <c r="B59" s="39" t="s">
        <v>221</v>
      </c>
      <c r="C59" s="39" t="s">
        <v>286</v>
      </c>
      <c r="D59" s="48" t="s">
        <v>303</v>
      </c>
      <c r="E59" s="48"/>
      <c r="F59" s="39" t="s">
        <v>309</v>
      </c>
      <c r="G59" s="22">
        <v>32</v>
      </c>
      <c r="H59" s="22">
        <v>0</v>
      </c>
      <c r="I59" s="22">
        <f t="shared" si="48"/>
        <v>0</v>
      </c>
      <c r="J59" s="22">
        <f t="shared" si="49"/>
        <v>0</v>
      </c>
      <c r="K59" s="22">
        <f t="shared" si="50"/>
        <v>0</v>
      </c>
      <c r="L59" s="22">
        <v>0.00405</v>
      </c>
      <c r="M59" s="22">
        <f t="shared" si="51"/>
        <v>0.1296</v>
      </c>
      <c r="N59" s="35" t="s">
        <v>353</v>
      </c>
      <c r="Z59" s="22">
        <f t="shared" si="52"/>
        <v>0</v>
      </c>
      <c r="AB59" s="22">
        <f t="shared" si="53"/>
        <v>0</v>
      </c>
      <c r="AC59" s="22">
        <f t="shared" si="54"/>
        <v>0</v>
      </c>
      <c r="AD59" s="22">
        <f t="shared" si="55"/>
        <v>0</v>
      </c>
      <c r="AE59" s="22">
        <f t="shared" si="56"/>
        <v>0</v>
      </c>
      <c r="AF59" s="22">
        <f t="shared" si="57"/>
        <v>0</v>
      </c>
      <c r="AG59" s="22">
        <f t="shared" si="58"/>
        <v>0</v>
      </c>
      <c r="AH59" s="22">
        <f t="shared" si="59"/>
        <v>0</v>
      </c>
      <c r="AI59" s="18" t="s">
        <v>221</v>
      </c>
      <c r="AJ59" s="22">
        <f t="shared" si="60"/>
        <v>0</v>
      </c>
      <c r="AK59" s="22">
        <f t="shared" si="61"/>
        <v>0</v>
      </c>
      <c r="AL59" s="22">
        <f t="shared" si="62"/>
        <v>0</v>
      </c>
      <c r="AN59" s="22">
        <v>21</v>
      </c>
      <c r="AO59" s="22">
        <f>H59*0.408037895048479</f>
        <v>0</v>
      </c>
      <c r="AP59" s="22">
        <f>H59*(1-0.408037895048479)</f>
        <v>0</v>
      </c>
      <c r="AQ59" s="13" t="s">
        <v>316</v>
      </c>
      <c r="AV59" s="22">
        <f t="shared" si="63"/>
        <v>0</v>
      </c>
      <c r="AW59" s="22">
        <f t="shared" si="64"/>
        <v>0</v>
      </c>
      <c r="AX59" s="22">
        <f t="shared" si="65"/>
        <v>0</v>
      </c>
      <c r="AY59" s="13" t="s">
        <v>143</v>
      </c>
      <c r="AZ59" s="13" t="s">
        <v>137</v>
      </c>
      <c r="BA59" s="18" t="s">
        <v>241</v>
      </c>
      <c r="BC59" s="22">
        <f t="shared" si="66"/>
        <v>0</v>
      </c>
      <c r="BD59" s="22">
        <f t="shared" si="67"/>
        <v>0</v>
      </c>
      <c r="BE59" s="22">
        <v>0</v>
      </c>
      <c r="BF59" s="22">
        <f t="shared" si="68"/>
        <v>0.1296</v>
      </c>
      <c r="BH59" s="22">
        <f t="shared" si="69"/>
        <v>0</v>
      </c>
      <c r="BI59" s="22">
        <f t="shared" si="70"/>
        <v>0</v>
      </c>
      <c r="BJ59" s="22">
        <f t="shared" si="71"/>
        <v>0</v>
      </c>
      <c r="BK59" s="22"/>
      <c r="BL59" s="22">
        <v>781</v>
      </c>
    </row>
    <row r="60" spans="1:64" ht="15" customHeight="1">
      <c r="A60" s="43" t="s">
        <v>204</v>
      </c>
      <c r="B60" s="39" t="s">
        <v>221</v>
      </c>
      <c r="C60" s="39" t="s">
        <v>76</v>
      </c>
      <c r="D60" s="48" t="s">
        <v>119</v>
      </c>
      <c r="E60" s="48"/>
      <c r="F60" s="39" t="s">
        <v>68</v>
      </c>
      <c r="G60" s="22">
        <v>8</v>
      </c>
      <c r="H60" s="22">
        <v>0</v>
      </c>
      <c r="I60" s="22">
        <f t="shared" si="48"/>
        <v>0</v>
      </c>
      <c r="J60" s="22">
        <f t="shared" si="49"/>
        <v>0</v>
      </c>
      <c r="K60" s="22">
        <f t="shared" si="50"/>
        <v>0</v>
      </c>
      <c r="L60" s="22">
        <v>0</v>
      </c>
      <c r="M60" s="22">
        <f t="shared" si="51"/>
        <v>0</v>
      </c>
      <c r="N60" s="35" t="s">
        <v>353</v>
      </c>
      <c r="Z60" s="22">
        <f t="shared" si="52"/>
        <v>0</v>
      </c>
      <c r="AB60" s="22">
        <f t="shared" si="53"/>
        <v>0</v>
      </c>
      <c r="AC60" s="22">
        <f t="shared" si="54"/>
        <v>0</v>
      </c>
      <c r="AD60" s="22">
        <f t="shared" si="55"/>
        <v>0</v>
      </c>
      <c r="AE60" s="22">
        <f t="shared" si="56"/>
        <v>0</v>
      </c>
      <c r="AF60" s="22">
        <f t="shared" si="57"/>
        <v>0</v>
      </c>
      <c r="AG60" s="22">
        <f t="shared" si="58"/>
        <v>0</v>
      </c>
      <c r="AH60" s="22">
        <f t="shared" si="59"/>
        <v>0</v>
      </c>
      <c r="AI60" s="18" t="s">
        <v>221</v>
      </c>
      <c r="AJ60" s="22">
        <f t="shared" si="60"/>
        <v>0</v>
      </c>
      <c r="AK60" s="22">
        <f t="shared" si="61"/>
        <v>0</v>
      </c>
      <c r="AL60" s="22">
        <f t="shared" si="62"/>
        <v>0</v>
      </c>
      <c r="AN60" s="22">
        <v>21</v>
      </c>
      <c r="AO60" s="22">
        <f>H60*0.0186346863468635</f>
        <v>0</v>
      </c>
      <c r="AP60" s="22">
        <f>H60*(1-0.0186346863468635)</f>
        <v>0</v>
      </c>
      <c r="AQ60" s="13" t="s">
        <v>316</v>
      </c>
      <c r="AV60" s="22">
        <f t="shared" si="63"/>
        <v>0</v>
      </c>
      <c r="AW60" s="22">
        <f t="shared" si="64"/>
        <v>0</v>
      </c>
      <c r="AX60" s="22">
        <f t="shared" si="65"/>
        <v>0</v>
      </c>
      <c r="AY60" s="13" t="s">
        <v>143</v>
      </c>
      <c r="AZ60" s="13" t="s">
        <v>137</v>
      </c>
      <c r="BA60" s="18" t="s">
        <v>241</v>
      </c>
      <c r="BC60" s="22">
        <f t="shared" si="66"/>
        <v>0</v>
      </c>
      <c r="BD60" s="22">
        <f t="shared" si="67"/>
        <v>0</v>
      </c>
      <c r="BE60" s="22">
        <v>0</v>
      </c>
      <c r="BF60" s="22">
        <f t="shared" si="68"/>
        <v>0</v>
      </c>
      <c r="BH60" s="22">
        <f t="shared" si="69"/>
        <v>0</v>
      </c>
      <c r="BI60" s="22">
        <f t="shared" si="70"/>
        <v>0</v>
      </c>
      <c r="BJ60" s="22">
        <f t="shared" si="71"/>
        <v>0</v>
      </c>
      <c r="BK60" s="22"/>
      <c r="BL60" s="22">
        <v>781</v>
      </c>
    </row>
    <row r="61" spans="1:64" ht="15" customHeight="1">
      <c r="A61" s="43" t="s">
        <v>103</v>
      </c>
      <c r="B61" s="39" t="s">
        <v>221</v>
      </c>
      <c r="C61" s="39" t="s">
        <v>284</v>
      </c>
      <c r="D61" s="48" t="s">
        <v>71</v>
      </c>
      <c r="E61" s="48"/>
      <c r="F61" s="39" t="s">
        <v>68</v>
      </c>
      <c r="G61" s="22">
        <v>2</v>
      </c>
      <c r="H61" s="22">
        <v>0</v>
      </c>
      <c r="I61" s="22">
        <f t="shared" si="48"/>
        <v>0</v>
      </c>
      <c r="J61" s="22">
        <f t="shared" si="49"/>
        <v>0</v>
      </c>
      <c r="K61" s="22">
        <f t="shared" si="50"/>
        <v>0</v>
      </c>
      <c r="L61" s="22">
        <v>0</v>
      </c>
      <c r="M61" s="22">
        <f t="shared" si="51"/>
        <v>0</v>
      </c>
      <c r="N61" s="35" t="s">
        <v>353</v>
      </c>
      <c r="Z61" s="22">
        <f t="shared" si="52"/>
        <v>0</v>
      </c>
      <c r="AB61" s="22">
        <f t="shared" si="53"/>
        <v>0</v>
      </c>
      <c r="AC61" s="22">
        <f t="shared" si="54"/>
        <v>0</v>
      </c>
      <c r="AD61" s="22">
        <f t="shared" si="55"/>
        <v>0</v>
      </c>
      <c r="AE61" s="22">
        <f t="shared" si="56"/>
        <v>0</v>
      </c>
      <c r="AF61" s="22">
        <f t="shared" si="57"/>
        <v>0</v>
      </c>
      <c r="AG61" s="22">
        <f t="shared" si="58"/>
        <v>0</v>
      </c>
      <c r="AH61" s="22">
        <f t="shared" si="59"/>
        <v>0</v>
      </c>
      <c r="AI61" s="18" t="s">
        <v>221</v>
      </c>
      <c r="AJ61" s="22">
        <f t="shared" si="60"/>
        <v>0</v>
      </c>
      <c r="AK61" s="22">
        <f t="shared" si="61"/>
        <v>0</v>
      </c>
      <c r="AL61" s="22">
        <f t="shared" si="62"/>
        <v>0</v>
      </c>
      <c r="AN61" s="22">
        <v>21</v>
      </c>
      <c r="AO61" s="22">
        <f>H61*0.0613162118780096</f>
        <v>0</v>
      </c>
      <c r="AP61" s="22">
        <f>H61*(1-0.0613162118780096)</f>
        <v>0</v>
      </c>
      <c r="AQ61" s="13" t="s">
        <v>316</v>
      </c>
      <c r="AV61" s="22">
        <f t="shared" si="63"/>
        <v>0</v>
      </c>
      <c r="AW61" s="22">
        <f t="shared" si="64"/>
        <v>0</v>
      </c>
      <c r="AX61" s="22">
        <f t="shared" si="65"/>
        <v>0</v>
      </c>
      <c r="AY61" s="13" t="s">
        <v>143</v>
      </c>
      <c r="AZ61" s="13" t="s">
        <v>137</v>
      </c>
      <c r="BA61" s="18" t="s">
        <v>241</v>
      </c>
      <c r="BC61" s="22">
        <f t="shared" si="66"/>
        <v>0</v>
      </c>
      <c r="BD61" s="22">
        <f t="shared" si="67"/>
        <v>0</v>
      </c>
      <c r="BE61" s="22">
        <v>0</v>
      </c>
      <c r="BF61" s="22">
        <f t="shared" si="68"/>
        <v>0</v>
      </c>
      <c r="BH61" s="22">
        <f t="shared" si="69"/>
        <v>0</v>
      </c>
      <c r="BI61" s="22">
        <f t="shared" si="70"/>
        <v>0</v>
      </c>
      <c r="BJ61" s="22">
        <f t="shared" si="71"/>
        <v>0</v>
      </c>
      <c r="BK61" s="22"/>
      <c r="BL61" s="22">
        <v>781</v>
      </c>
    </row>
    <row r="62" spans="1:64" ht="15" customHeight="1">
      <c r="A62" s="43" t="s">
        <v>310</v>
      </c>
      <c r="B62" s="39" t="s">
        <v>221</v>
      </c>
      <c r="C62" s="39" t="s">
        <v>117</v>
      </c>
      <c r="D62" s="48" t="s">
        <v>348</v>
      </c>
      <c r="E62" s="48"/>
      <c r="F62" s="39" t="s">
        <v>309</v>
      </c>
      <c r="G62" s="22">
        <v>34</v>
      </c>
      <c r="H62" s="22">
        <v>0</v>
      </c>
      <c r="I62" s="22">
        <f t="shared" si="48"/>
        <v>0</v>
      </c>
      <c r="J62" s="22">
        <f t="shared" si="49"/>
        <v>0</v>
      </c>
      <c r="K62" s="22">
        <f t="shared" si="50"/>
        <v>0</v>
      </c>
      <c r="L62" s="22">
        <v>0.068</v>
      </c>
      <c r="M62" s="22">
        <f t="shared" si="51"/>
        <v>2.3120000000000003</v>
      </c>
      <c r="N62" s="35" t="s">
        <v>353</v>
      </c>
      <c r="Z62" s="22">
        <f t="shared" si="52"/>
        <v>0</v>
      </c>
      <c r="AB62" s="22">
        <f t="shared" si="53"/>
        <v>0</v>
      </c>
      <c r="AC62" s="22">
        <f t="shared" si="54"/>
        <v>0</v>
      </c>
      <c r="AD62" s="22">
        <f t="shared" si="55"/>
        <v>0</v>
      </c>
      <c r="AE62" s="22">
        <f t="shared" si="56"/>
        <v>0</v>
      </c>
      <c r="AF62" s="22">
        <f t="shared" si="57"/>
        <v>0</v>
      </c>
      <c r="AG62" s="22">
        <f t="shared" si="58"/>
        <v>0</v>
      </c>
      <c r="AH62" s="22">
        <f t="shared" si="59"/>
        <v>0</v>
      </c>
      <c r="AI62" s="18" t="s">
        <v>221</v>
      </c>
      <c r="AJ62" s="22">
        <f t="shared" si="60"/>
        <v>0</v>
      </c>
      <c r="AK62" s="22">
        <f t="shared" si="61"/>
        <v>0</v>
      </c>
      <c r="AL62" s="22">
        <f t="shared" si="62"/>
        <v>0</v>
      </c>
      <c r="AN62" s="22">
        <v>21</v>
      </c>
      <c r="AO62" s="22">
        <f>H62*0</f>
        <v>0</v>
      </c>
      <c r="AP62" s="22">
        <f>H62*(1-0)</f>
        <v>0</v>
      </c>
      <c r="AQ62" s="13" t="s">
        <v>316</v>
      </c>
      <c r="AV62" s="22">
        <f t="shared" si="63"/>
        <v>0</v>
      </c>
      <c r="AW62" s="22">
        <f t="shared" si="64"/>
        <v>0</v>
      </c>
      <c r="AX62" s="22">
        <f t="shared" si="65"/>
        <v>0</v>
      </c>
      <c r="AY62" s="13" t="s">
        <v>143</v>
      </c>
      <c r="AZ62" s="13" t="s">
        <v>137</v>
      </c>
      <c r="BA62" s="18" t="s">
        <v>241</v>
      </c>
      <c r="BC62" s="22">
        <f t="shared" si="66"/>
        <v>0</v>
      </c>
      <c r="BD62" s="22">
        <f t="shared" si="67"/>
        <v>0</v>
      </c>
      <c r="BE62" s="22">
        <v>0</v>
      </c>
      <c r="BF62" s="22">
        <f t="shared" si="68"/>
        <v>2.3120000000000003</v>
      </c>
      <c r="BH62" s="22">
        <f t="shared" si="69"/>
        <v>0</v>
      </c>
      <c r="BI62" s="22">
        <f t="shared" si="70"/>
        <v>0</v>
      </c>
      <c r="BJ62" s="22">
        <f t="shared" si="71"/>
        <v>0</v>
      </c>
      <c r="BK62" s="22"/>
      <c r="BL62" s="22">
        <v>781</v>
      </c>
    </row>
    <row r="63" spans="1:47" ht="15" customHeight="1">
      <c r="A63" s="33" t="s">
        <v>221</v>
      </c>
      <c r="B63" s="41" t="s">
        <v>221</v>
      </c>
      <c r="C63" s="41" t="s">
        <v>176</v>
      </c>
      <c r="D63" s="65" t="s">
        <v>253</v>
      </c>
      <c r="E63" s="65"/>
      <c r="F63" s="28" t="s">
        <v>294</v>
      </c>
      <c r="G63" s="28" t="s">
        <v>294</v>
      </c>
      <c r="H63" s="28" t="s">
        <v>294</v>
      </c>
      <c r="I63" s="26">
        <f>SUM(I64:I68)</f>
        <v>0</v>
      </c>
      <c r="J63" s="26">
        <f>SUM(J64:J68)</f>
        <v>0</v>
      </c>
      <c r="K63" s="26">
        <f>SUM(K64:K68)</f>
        <v>0</v>
      </c>
      <c r="L63" s="18" t="s">
        <v>221</v>
      </c>
      <c r="M63" s="26">
        <f>SUM(M64:M68)</f>
        <v>0.00553825</v>
      </c>
      <c r="N63" s="34" t="s">
        <v>221</v>
      </c>
      <c r="AI63" s="18" t="s">
        <v>221</v>
      </c>
      <c r="AS63" s="26">
        <f>SUM(AJ64:AJ68)</f>
        <v>0</v>
      </c>
      <c r="AT63" s="26">
        <f>SUM(AK64:AK68)</f>
        <v>0</v>
      </c>
      <c r="AU63" s="26">
        <f>SUM(AL64:AL68)</f>
        <v>0</v>
      </c>
    </row>
    <row r="64" spans="1:64" ht="15" customHeight="1">
      <c r="A64" s="43" t="s">
        <v>49</v>
      </c>
      <c r="B64" s="39" t="s">
        <v>221</v>
      </c>
      <c r="C64" s="39" t="s">
        <v>256</v>
      </c>
      <c r="D64" s="48" t="s">
        <v>146</v>
      </c>
      <c r="E64" s="48"/>
      <c r="F64" s="39" t="s">
        <v>309</v>
      </c>
      <c r="G64" s="22">
        <v>2</v>
      </c>
      <c r="H64" s="22">
        <v>0</v>
      </c>
      <c r="I64" s="22">
        <f>G64*AO64</f>
        <v>0</v>
      </c>
      <c r="J64" s="22">
        <f>G64*AP64</f>
        <v>0</v>
      </c>
      <c r="K64" s="22">
        <f>G64*H64</f>
        <v>0</v>
      </c>
      <c r="L64" s="22">
        <v>0.00015</v>
      </c>
      <c r="M64" s="22">
        <f>G64*L64</f>
        <v>0.0003</v>
      </c>
      <c r="N64" s="35" t="s">
        <v>353</v>
      </c>
      <c r="Z64" s="22">
        <f>IF(AQ64="5",BJ64,0)</f>
        <v>0</v>
      </c>
      <c r="AB64" s="22">
        <f>IF(AQ64="1",BH64,0)</f>
        <v>0</v>
      </c>
      <c r="AC64" s="22">
        <f>IF(AQ64="1",BI64,0)</f>
        <v>0</v>
      </c>
      <c r="AD64" s="22">
        <f>IF(AQ64="7",BH64,0)</f>
        <v>0</v>
      </c>
      <c r="AE64" s="22">
        <f>IF(AQ64="7",BI64,0)</f>
        <v>0</v>
      </c>
      <c r="AF64" s="22">
        <f>IF(AQ64="2",BH64,0)</f>
        <v>0</v>
      </c>
      <c r="AG64" s="22">
        <f>IF(AQ64="2",BI64,0)</f>
        <v>0</v>
      </c>
      <c r="AH64" s="22">
        <f>IF(AQ64="0",BJ64,0)</f>
        <v>0</v>
      </c>
      <c r="AI64" s="18" t="s">
        <v>221</v>
      </c>
      <c r="AJ64" s="22">
        <f>IF(AN64=0,K64,0)</f>
        <v>0</v>
      </c>
      <c r="AK64" s="22">
        <f>IF(AN64=15,K64,0)</f>
        <v>0</v>
      </c>
      <c r="AL64" s="22">
        <f>IF(AN64=21,K64,0)</f>
        <v>0</v>
      </c>
      <c r="AN64" s="22">
        <v>21</v>
      </c>
      <c r="AO64" s="22">
        <f>H64*0.353088235294118</f>
        <v>0</v>
      </c>
      <c r="AP64" s="22">
        <f>H64*(1-0.353088235294118)</f>
        <v>0</v>
      </c>
      <c r="AQ64" s="13" t="s">
        <v>316</v>
      </c>
      <c r="AV64" s="22">
        <f>AW64+AX64</f>
        <v>0</v>
      </c>
      <c r="AW64" s="22">
        <f>G64*AO64</f>
        <v>0</v>
      </c>
      <c r="AX64" s="22">
        <f>G64*AP64</f>
        <v>0</v>
      </c>
      <c r="AY64" s="13" t="s">
        <v>62</v>
      </c>
      <c r="AZ64" s="13" t="s">
        <v>137</v>
      </c>
      <c r="BA64" s="18" t="s">
        <v>241</v>
      </c>
      <c r="BC64" s="22">
        <f>AW64+AX64</f>
        <v>0</v>
      </c>
      <c r="BD64" s="22">
        <f>H64/(100-BE64)*100</f>
        <v>0</v>
      </c>
      <c r="BE64" s="22">
        <v>0</v>
      </c>
      <c r="BF64" s="22">
        <f>M64</f>
        <v>0.0003</v>
      </c>
      <c r="BH64" s="22">
        <f>G64*AO64</f>
        <v>0</v>
      </c>
      <c r="BI64" s="22">
        <f>G64*AP64</f>
        <v>0</v>
      </c>
      <c r="BJ64" s="22">
        <f>G64*H64</f>
        <v>0</v>
      </c>
      <c r="BK64" s="22"/>
      <c r="BL64" s="22">
        <v>783</v>
      </c>
    </row>
    <row r="65" spans="1:64" ht="15" customHeight="1">
      <c r="A65" s="43" t="s">
        <v>97</v>
      </c>
      <c r="B65" s="39" t="s">
        <v>221</v>
      </c>
      <c r="C65" s="39" t="s">
        <v>133</v>
      </c>
      <c r="D65" s="48" t="s">
        <v>127</v>
      </c>
      <c r="E65" s="48"/>
      <c r="F65" s="39" t="s">
        <v>309</v>
      </c>
      <c r="G65" s="22">
        <v>50.55</v>
      </c>
      <c r="H65" s="22">
        <v>0</v>
      </c>
      <c r="I65" s="22">
        <f>G65*AO65</f>
        <v>0</v>
      </c>
      <c r="J65" s="22">
        <f>G65*AP65</f>
        <v>0</v>
      </c>
      <c r="K65" s="22">
        <f>G65*H65</f>
        <v>0</v>
      </c>
      <c r="L65" s="22">
        <v>9E-05</v>
      </c>
      <c r="M65" s="22">
        <f>G65*L65</f>
        <v>0.0045495</v>
      </c>
      <c r="N65" s="35" t="s">
        <v>353</v>
      </c>
      <c r="Z65" s="22">
        <f>IF(AQ65="5",BJ65,0)</f>
        <v>0</v>
      </c>
      <c r="AB65" s="22">
        <f>IF(AQ65="1",BH65,0)</f>
        <v>0</v>
      </c>
      <c r="AC65" s="22">
        <f>IF(AQ65="1",BI65,0)</f>
        <v>0</v>
      </c>
      <c r="AD65" s="22">
        <f>IF(AQ65="7",BH65,0)</f>
        <v>0</v>
      </c>
      <c r="AE65" s="22">
        <f>IF(AQ65="7",BI65,0)</f>
        <v>0</v>
      </c>
      <c r="AF65" s="22">
        <f>IF(AQ65="2",BH65,0)</f>
        <v>0</v>
      </c>
      <c r="AG65" s="22">
        <f>IF(AQ65="2",BI65,0)</f>
        <v>0</v>
      </c>
      <c r="AH65" s="22">
        <f>IF(AQ65="0",BJ65,0)</f>
        <v>0</v>
      </c>
      <c r="AI65" s="18" t="s">
        <v>221</v>
      </c>
      <c r="AJ65" s="22">
        <f>IF(AN65=0,K65,0)</f>
        <v>0</v>
      </c>
      <c r="AK65" s="22">
        <f>IF(AN65=15,K65,0)</f>
        <v>0</v>
      </c>
      <c r="AL65" s="22">
        <f>IF(AN65=21,K65,0)</f>
        <v>0</v>
      </c>
      <c r="AN65" s="22">
        <v>21</v>
      </c>
      <c r="AO65" s="22">
        <f>H65*0.127600339876608</f>
        <v>0</v>
      </c>
      <c r="AP65" s="22">
        <f>H65*(1-0.127600339876608)</f>
        <v>0</v>
      </c>
      <c r="AQ65" s="13" t="s">
        <v>316</v>
      </c>
      <c r="AV65" s="22">
        <f>AW65+AX65</f>
        <v>0</v>
      </c>
      <c r="AW65" s="22">
        <f>G65*AO65</f>
        <v>0</v>
      </c>
      <c r="AX65" s="22">
        <f>G65*AP65</f>
        <v>0</v>
      </c>
      <c r="AY65" s="13" t="s">
        <v>62</v>
      </c>
      <c r="AZ65" s="13" t="s">
        <v>137</v>
      </c>
      <c r="BA65" s="18" t="s">
        <v>241</v>
      </c>
      <c r="BC65" s="22">
        <f>AW65+AX65</f>
        <v>0</v>
      </c>
      <c r="BD65" s="22">
        <f>H65/(100-BE65)*100</f>
        <v>0</v>
      </c>
      <c r="BE65" s="22">
        <v>0</v>
      </c>
      <c r="BF65" s="22">
        <f>M65</f>
        <v>0.0045495</v>
      </c>
      <c r="BH65" s="22">
        <f>G65*AO65</f>
        <v>0</v>
      </c>
      <c r="BI65" s="22">
        <f>G65*AP65</f>
        <v>0</v>
      </c>
      <c r="BJ65" s="22">
        <f>G65*H65</f>
        <v>0</v>
      </c>
      <c r="BK65" s="22"/>
      <c r="BL65" s="22">
        <v>783</v>
      </c>
    </row>
    <row r="66" spans="1:64" ht="15" customHeight="1">
      <c r="A66" s="43" t="s">
        <v>135</v>
      </c>
      <c r="B66" s="39" t="s">
        <v>221</v>
      </c>
      <c r="C66" s="39" t="s">
        <v>126</v>
      </c>
      <c r="D66" s="48" t="s">
        <v>209</v>
      </c>
      <c r="E66" s="48"/>
      <c r="F66" s="39" t="s">
        <v>309</v>
      </c>
      <c r="G66" s="22">
        <v>2</v>
      </c>
      <c r="H66" s="22">
        <v>0</v>
      </c>
      <c r="I66" s="22">
        <f>G66*AO66</f>
        <v>0</v>
      </c>
      <c r="J66" s="22">
        <f>G66*AP66</f>
        <v>0</v>
      </c>
      <c r="K66" s="22">
        <f>G66*H66</f>
        <v>0</v>
      </c>
      <c r="L66" s="22">
        <v>0.00023</v>
      </c>
      <c r="M66" s="22">
        <f>G66*L66</f>
        <v>0.00046</v>
      </c>
      <c r="N66" s="35" t="s">
        <v>353</v>
      </c>
      <c r="Z66" s="22">
        <f>IF(AQ66="5",BJ66,0)</f>
        <v>0</v>
      </c>
      <c r="AB66" s="22">
        <f>IF(AQ66="1",BH66,0)</f>
        <v>0</v>
      </c>
      <c r="AC66" s="22">
        <f>IF(AQ66="1",BI66,0)</f>
        <v>0</v>
      </c>
      <c r="AD66" s="22">
        <f>IF(AQ66="7",BH66,0)</f>
        <v>0</v>
      </c>
      <c r="AE66" s="22">
        <f>IF(AQ66="7",BI66,0)</f>
        <v>0</v>
      </c>
      <c r="AF66" s="22">
        <f>IF(AQ66="2",BH66,0)</f>
        <v>0</v>
      </c>
      <c r="AG66" s="22">
        <f>IF(AQ66="2",BI66,0)</f>
        <v>0</v>
      </c>
      <c r="AH66" s="22">
        <f>IF(AQ66="0",BJ66,0)</f>
        <v>0</v>
      </c>
      <c r="AI66" s="18" t="s">
        <v>221</v>
      </c>
      <c r="AJ66" s="22">
        <f>IF(AN66=0,K66,0)</f>
        <v>0</v>
      </c>
      <c r="AK66" s="22">
        <f>IF(AN66=15,K66,0)</f>
        <v>0</v>
      </c>
      <c r="AL66" s="22">
        <f>IF(AN66=21,K66,0)</f>
        <v>0</v>
      </c>
      <c r="AN66" s="22">
        <v>21</v>
      </c>
      <c r="AO66" s="22">
        <f>H66*0.247756874095514</f>
        <v>0</v>
      </c>
      <c r="AP66" s="22">
        <f>H66*(1-0.247756874095514)</f>
        <v>0</v>
      </c>
      <c r="AQ66" s="13" t="s">
        <v>316</v>
      </c>
      <c r="AV66" s="22">
        <f>AW66+AX66</f>
        <v>0</v>
      </c>
      <c r="AW66" s="22">
        <f>G66*AO66</f>
        <v>0</v>
      </c>
      <c r="AX66" s="22">
        <f>G66*AP66</f>
        <v>0</v>
      </c>
      <c r="AY66" s="13" t="s">
        <v>62</v>
      </c>
      <c r="AZ66" s="13" t="s">
        <v>137</v>
      </c>
      <c r="BA66" s="18" t="s">
        <v>241</v>
      </c>
      <c r="BC66" s="22">
        <f>AW66+AX66</f>
        <v>0</v>
      </c>
      <c r="BD66" s="22">
        <f>H66/(100-BE66)*100</f>
        <v>0</v>
      </c>
      <c r="BE66" s="22">
        <v>0</v>
      </c>
      <c r="BF66" s="22">
        <f>M66</f>
        <v>0.00046</v>
      </c>
      <c r="BH66" s="22">
        <f>G66*AO66</f>
        <v>0</v>
      </c>
      <c r="BI66" s="22">
        <f>G66*AP66</f>
        <v>0</v>
      </c>
      <c r="BJ66" s="22">
        <f>G66*H66</f>
        <v>0</v>
      </c>
      <c r="BK66" s="22"/>
      <c r="BL66" s="22">
        <v>783</v>
      </c>
    </row>
    <row r="67" spans="1:64" ht="15" customHeight="1">
      <c r="A67" s="43" t="s">
        <v>102</v>
      </c>
      <c r="B67" s="39" t="s">
        <v>221</v>
      </c>
      <c r="C67" s="39" t="s">
        <v>101</v>
      </c>
      <c r="D67" s="48" t="s">
        <v>212</v>
      </c>
      <c r="E67" s="48"/>
      <c r="F67" s="39" t="s">
        <v>309</v>
      </c>
      <c r="G67" s="22">
        <v>22.875</v>
      </c>
      <c r="H67" s="22">
        <v>0</v>
      </c>
      <c r="I67" s="22">
        <f>G67*AO67</f>
        <v>0</v>
      </c>
      <c r="J67" s="22">
        <f>G67*AP67</f>
        <v>0</v>
      </c>
      <c r="K67" s="22">
        <f>G67*H67</f>
        <v>0</v>
      </c>
      <c r="L67" s="22">
        <v>1E-05</v>
      </c>
      <c r="M67" s="22">
        <f>G67*L67</f>
        <v>0.00022875000000000003</v>
      </c>
      <c r="N67" s="35" t="s">
        <v>353</v>
      </c>
      <c r="Z67" s="22">
        <f>IF(AQ67="5",BJ67,0)</f>
        <v>0</v>
      </c>
      <c r="AB67" s="22">
        <f>IF(AQ67="1",BH67,0)</f>
        <v>0</v>
      </c>
      <c r="AC67" s="22">
        <f>IF(AQ67="1",BI67,0)</f>
        <v>0</v>
      </c>
      <c r="AD67" s="22">
        <f>IF(AQ67="7",BH67,0)</f>
        <v>0</v>
      </c>
      <c r="AE67" s="22">
        <f>IF(AQ67="7",BI67,0)</f>
        <v>0</v>
      </c>
      <c r="AF67" s="22">
        <f>IF(AQ67="2",BH67,0)</f>
        <v>0</v>
      </c>
      <c r="AG67" s="22">
        <f>IF(AQ67="2",BI67,0)</f>
        <v>0</v>
      </c>
      <c r="AH67" s="22">
        <f>IF(AQ67="0",BJ67,0)</f>
        <v>0</v>
      </c>
      <c r="AI67" s="18" t="s">
        <v>221</v>
      </c>
      <c r="AJ67" s="22">
        <f>IF(AN67=0,K67,0)</f>
        <v>0</v>
      </c>
      <c r="AK67" s="22">
        <f>IF(AN67=15,K67,0)</f>
        <v>0</v>
      </c>
      <c r="AL67" s="22">
        <f>IF(AN67=21,K67,0)</f>
        <v>0</v>
      </c>
      <c r="AN67" s="22">
        <v>21</v>
      </c>
      <c r="AO67" s="22">
        <f>H67*0.0751024746466449</f>
        <v>0</v>
      </c>
      <c r="AP67" s="22">
        <f>H67*(1-0.0751024746466449)</f>
        <v>0</v>
      </c>
      <c r="AQ67" s="13" t="s">
        <v>316</v>
      </c>
      <c r="AV67" s="22">
        <f>AW67+AX67</f>
        <v>0</v>
      </c>
      <c r="AW67" s="22">
        <f>G67*AO67</f>
        <v>0</v>
      </c>
      <c r="AX67" s="22">
        <f>G67*AP67</f>
        <v>0</v>
      </c>
      <c r="AY67" s="13" t="s">
        <v>62</v>
      </c>
      <c r="AZ67" s="13" t="s">
        <v>137</v>
      </c>
      <c r="BA67" s="18" t="s">
        <v>241</v>
      </c>
      <c r="BC67" s="22">
        <f>AW67+AX67</f>
        <v>0</v>
      </c>
      <c r="BD67" s="22">
        <f>H67/(100-BE67)*100</f>
        <v>0</v>
      </c>
      <c r="BE67" s="22">
        <v>0</v>
      </c>
      <c r="BF67" s="22">
        <f>M67</f>
        <v>0.00022875000000000003</v>
      </c>
      <c r="BH67" s="22">
        <f>G67*AO67</f>
        <v>0</v>
      </c>
      <c r="BI67" s="22">
        <f>G67*AP67</f>
        <v>0</v>
      </c>
      <c r="BJ67" s="22">
        <f>G67*H67</f>
        <v>0</v>
      </c>
      <c r="BK67" s="22"/>
      <c r="BL67" s="22">
        <v>783</v>
      </c>
    </row>
    <row r="68" spans="1:64" ht="15" customHeight="1">
      <c r="A68" s="43" t="s">
        <v>258</v>
      </c>
      <c r="B68" s="39" t="s">
        <v>221</v>
      </c>
      <c r="C68" s="39" t="s">
        <v>315</v>
      </c>
      <c r="D68" s="48" t="s">
        <v>196</v>
      </c>
      <c r="E68" s="48"/>
      <c r="F68" s="39" t="s">
        <v>309</v>
      </c>
      <c r="G68" s="22">
        <v>26.775</v>
      </c>
      <c r="H68" s="22">
        <v>0</v>
      </c>
      <c r="I68" s="22">
        <f>G68*AO68</f>
        <v>0</v>
      </c>
      <c r="J68" s="22">
        <f>G68*AP68</f>
        <v>0</v>
      </c>
      <c r="K68" s="22">
        <f>G68*H68</f>
        <v>0</v>
      </c>
      <c r="L68" s="22">
        <v>0</v>
      </c>
      <c r="M68" s="22">
        <f>G68*L68</f>
        <v>0</v>
      </c>
      <c r="N68" s="35" t="s">
        <v>353</v>
      </c>
      <c r="Z68" s="22">
        <f>IF(AQ68="5",BJ68,0)</f>
        <v>0</v>
      </c>
      <c r="AB68" s="22">
        <f>IF(AQ68="1",BH68,0)</f>
        <v>0</v>
      </c>
      <c r="AC68" s="22">
        <f>IF(AQ68="1",BI68,0)</f>
        <v>0</v>
      </c>
      <c r="AD68" s="22">
        <f>IF(AQ68="7",BH68,0)</f>
        <v>0</v>
      </c>
      <c r="AE68" s="22">
        <f>IF(AQ68="7",BI68,0)</f>
        <v>0</v>
      </c>
      <c r="AF68" s="22">
        <f>IF(AQ68="2",BH68,0)</f>
        <v>0</v>
      </c>
      <c r="AG68" s="22">
        <f>IF(AQ68="2",BI68,0)</f>
        <v>0</v>
      </c>
      <c r="AH68" s="22">
        <f>IF(AQ68="0",BJ68,0)</f>
        <v>0</v>
      </c>
      <c r="AI68" s="18" t="s">
        <v>221</v>
      </c>
      <c r="AJ68" s="22">
        <f>IF(AN68=0,K68,0)</f>
        <v>0</v>
      </c>
      <c r="AK68" s="22">
        <f>IF(AN68=15,K68,0)</f>
        <v>0</v>
      </c>
      <c r="AL68" s="22">
        <f>IF(AN68=21,K68,0)</f>
        <v>0</v>
      </c>
      <c r="AN68" s="22">
        <v>21</v>
      </c>
      <c r="AO68" s="22">
        <f>H68*0.00276450656103925</f>
        <v>0</v>
      </c>
      <c r="AP68" s="22">
        <f>H68*(1-0.00276450656103925)</f>
        <v>0</v>
      </c>
      <c r="AQ68" s="13" t="s">
        <v>316</v>
      </c>
      <c r="AV68" s="22">
        <f>AW68+AX68</f>
        <v>0</v>
      </c>
      <c r="AW68" s="22">
        <f>G68*AO68</f>
        <v>0</v>
      </c>
      <c r="AX68" s="22">
        <f>G68*AP68</f>
        <v>0</v>
      </c>
      <c r="AY68" s="13" t="s">
        <v>62</v>
      </c>
      <c r="AZ68" s="13" t="s">
        <v>137</v>
      </c>
      <c r="BA68" s="18" t="s">
        <v>241</v>
      </c>
      <c r="BC68" s="22">
        <f>AW68+AX68</f>
        <v>0</v>
      </c>
      <c r="BD68" s="22">
        <f>H68/(100-BE68)*100</f>
        <v>0</v>
      </c>
      <c r="BE68" s="22">
        <v>0</v>
      </c>
      <c r="BF68" s="22">
        <f>M68</f>
        <v>0</v>
      </c>
      <c r="BH68" s="22">
        <f>G68*AO68</f>
        <v>0</v>
      </c>
      <c r="BI68" s="22">
        <f>G68*AP68</f>
        <v>0</v>
      </c>
      <c r="BJ68" s="22">
        <f>G68*H68</f>
        <v>0</v>
      </c>
      <c r="BK68" s="22"/>
      <c r="BL68" s="22">
        <v>783</v>
      </c>
    </row>
    <row r="69" spans="1:47" ht="15" customHeight="1">
      <c r="A69" s="33" t="s">
        <v>221</v>
      </c>
      <c r="B69" s="41" t="s">
        <v>221</v>
      </c>
      <c r="C69" s="41" t="s">
        <v>170</v>
      </c>
      <c r="D69" s="65" t="s">
        <v>192</v>
      </c>
      <c r="E69" s="65"/>
      <c r="F69" s="28" t="s">
        <v>294</v>
      </c>
      <c r="G69" s="28" t="s">
        <v>294</v>
      </c>
      <c r="H69" s="28" t="s">
        <v>294</v>
      </c>
      <c r="I69" s="26">
        <f>SUM(I70:I76)</f>
        <v>0</v>
      </c>
      <c r="J69" s="26">
        <f>SUM(J70:J76)</f>
        <v>0</v>
      </c>
      <c r="K69" s="26">
        <f>SUM(K70:K76)</f>
        <v>0</v>
      </c>
      <c r="L69" s="18" t="s">
        <v>221</v>
      </c>
      <c r="M69" s="26">
        <f>SUM(M70:M76)</f>
        <v>0.22364</v>
      </c>
      <c r="N69" s="34" t="s">
        <v>221</v>
      </c>
      <c r="AI69" s="18" t="s">
        <v>221</v>
      </c>
      <c r="AS69" s="26">
        <f>SUM(AJ70:AJ76)</f>
        <v>0</v>
      </c>
      <c r="AT69" s="26">
        <f>SUM(AK70:AK76)</f>
        <v>0</v>
      </c>
      <c r="AU69" s="26">
        <f>SUM(AL70:AL76)</f>
        <v>0</v>
      </c>
    </row>
    <row r="70" spans="1:64" ht="15" customHeight="1">
      <c r="A70" s="43" t="s">
        <v>327</v>
      </c>
      <c r="B70" s="39" t="s">
        <v>221</v>
      </c>
      <c r="C70" s="39" t="s">
        <v>160</v>
      </c>
      <c r="D70" s="48" t="s">
        <v>193</v>
      </c>
      <c r="E70" s="48"/>
      <c r="F70" s="39" t="s">
        <v>309</v>
      </c>
      <c r="G70" s="22">
        <v>32</v>
      </c>
      <c r="H70" s="22">
        <v>0</v>
      </c>
      <c r="I70" s="22">
        <f aca="true" t="shared" si="72" ref="I70:I76">G70*AO70</f>
        <v>0</v>
      </c>
      <c r="J70" s="22">
        <f aca="true" t="shared" si="73" ref="J70:J76">G70*AP70</f>
        <v>0</v>
      </c>
      <c r="K70" s="22">
        <f aca="true" t="shared" si="74" ref="K70:K76">G70*H70</f>
        <v>0</v>
      </c>
      <c r="L70" s="22">
        <v>0</v>
      </c>
      <c r="M70" s="22">
        <f aca="true" t="shared" si="75" ref="M70:M76">G70*L70</f>
        <v>0</v>
      </c>
      <c r="N70" s="35" t="s">
        <v>353</v>
      </c>
      <c r="Z70" s="22">
        <f aca="true" t="shared" si="76" ref="Z70:Z76">IF(AQ70="5",BJ70,0)</f>
        <v>0</v>
      </c>
      <c r="AB70" s="22">
        <f aca="true" t="shared" si="77" ref="AB70:AB76">IF(AQ70="1",BH70,0)</f>
        <v>0</v>
      </c>
      <c r="AC70" s="22">
        <f aca="true" t="shared" si="78" ref="AC70:AC76">IF(AQ70="1",BI70,0)</f>
        <v>0</v>
      </c>
      <c r="AD70" s="22">
        <f aca="true" t="shared" si="79" ref="AD70:AD76">IF(AQ70="7",BH70,0)</f>
        <v>0</v>
      </c>
      <c r="AE70" s="22">
        <f aca="true" t="shared" si="80" ref="AE70:AE76">IF(AQ70="7",BI70,0)</f>
        <v>0</v>
      </c>
      <c r="AF70" s="22">
        <f aca="true" t="shared" si="81" ref="AF70:AF76">IF(AQ70="2",BH70,0)</f>
        <v>0</v>
      </c>
      <c r="AG70" s="22">
        <f aca="true" t="shared" si="82" ref="AG70:AG76">IF(AQ70="2",BI70,0)</f>
        <v>0</v>
      </c>
      <c r="AH70" s="22">
        <f aca="true" t="shared" si="83" ref="AH70:AH76">IF(AQ70="0",BJ70,0)</f>
        <v>0</v>
      </c>
      <c r="AI70" s="18" t="s">
        <v>221</v>
      </c>
      <c r="AJ70" s="22">
        <f aca="true" t="shared" si="84" ref="AJ70:AJ76">IF(AN70=0,K70,0)</f>
        <v>0</v>
      </c>
      <c r="AK70" s="22">
        <f aca="true" t="shared" si="85" ref="AK70:AK76">IF(AN70=15,K70,0)</f>
        <v>0</v>
      </c>
      <c r="AL70" s="22">
        <f aca="true" t="shared" si="86" ref="AL70:AL76">IF(AN70=21,K70,0)</f>
        <v>0</v>
      </c>
      <c r="AN70" s="22">
        <v>21</v>
      </c>
      <c r="AO70" s="22">
        <f>H70*0</f>
        <v>0</v>
      </c>
      <c r="AP70" s="22">
        <f>H70*(1-0)</f>
        <v>0</v>
      </c>
      <c r="AQ70" s="13" t="s">
        <v>316</v>
      </c>
      <c r="AV70" s="22">
        <f aca="true" t="shared" si="87" ref="AV70:AV76">AW70+AX70</f>
        <v>0</v>
      </c>
      <c r="AW70" s="22">
        <f aca="true" t="shared" si="88" ref="AW70:AW76">G70*AO70</f>
        <v>0</v>
      </c>
      <c r="AX70" s="22">
        <f aca="true" t="shared" si="89" ref="AX70:AX76">G70*AP70</f>
        <v>0</v>
      </c>
      <c r="AY70" s="13" t="s">
        <v>281</v>
      </c>
      <c r="AZ70" s="13" t="s">
        <v>137</v>
      </c>
      <c r="BA70" s="18" t="s">
        <v>241</v>
      </c>
      <c r="BC70" s="22">
        <f aca="true" t="shared" si="90" ref="BC70:BC76">AW70+AX70</f>
        <v>0</v>
      </c>
      <c r="BD70" s="22">
        <f aca="true" t="shared" si="91" ref="BD70:BD76">H70/(100-BE70)*100</f>
        <v>0</v>
      </c>
      <c r="BE70" s="22">
        <v>0</v>
      </c>
      <c r="BF70" s="22">
        <f aca="true" t="shared" si="92" ref="BF70:BF76">M70</f>
        <v>0</v>
      </c>
      <c r="BH70" s="22">
        <f aca="true" t="shared" si="93" ref="BH70:BH76">G70*AO70</f>
        <v>0</v>
      </c>
      <c r="BI70" s="22">
        <f aca="true" t="shared" si="94" ref="BI70:BI76">G70*AP70</f>
        <v>0</v>
      </c>
      <c r="BJ70" s="22">
        <f aca="true" t="shared" si="95" ref="BJ70:BJ76">G70*H70</f>
        <v>0</v>
      </c>
      <c r="BK70" s="22"/>
      <c r="BL70" s="22">
        <v>784</v>
      </c>
    </row>
    <row r="71" spans="1:64" ht="15" customHeight="1">
      <c r="A71" s="43" t="s">
        <v>18</v>
      </c>
      <c r="B71" s="39" t="s">
        <v>221</v>
      </c>
      <c r="C71" s="39" t="s">
        <v>314</v>
      </c>
      <c r="D71" s="48" t="s">
        <v>236</v>
      </c>
      <c r="E71" s="48"/>
      <c r="F71" s="39" t="s">
        <v>309</v>
      </c>
      <c r="G71" s="22">
        <v>32</v>
      </c>
      <c r="H71" s="22">
        <v>0</v>
      </c>
      <c r="I71" s="22">
        <f t="shared" si="72"/>
        <v>0</v>
      </c>
      <c r="J71" s="22">
        <f t="shared" si="73"/>
        <v>0</v>
      </c>
      <c r="K71" s="22">
        <f t="shared" si="74"/>
        <v>0</v>
      </c>
      <c r="L71" s="22">
        <v>0.003</v>
      </c>
      <c r="M71" s="22">
        <f t="shared" si="75"/>
        <v>0.096</v>
      </c>
      <c r="N71" s="35" t="s">
        <v>353</v>
      </c>
      <c r="Z71" s="22">
        <f t="shared" si="76"/>
        <v>0</v>
      </c>
      <c r="AB71" s="22">
        <f t="shared" si="77"/>
        <v>0</v>
      </c>
      <c r="AC71" s="22">
        <f t="shared" si="78"/>
        <v>0</v>
      </c>
      <c r="AD71" s="22">
        <f t="shared" si="79"/>
        <v>0</v>
      </c>
      <c r="AE71" s="22">
        <f t="shared" si="80"/>
        <v>0</v>
      </c>
      <c r="AF71" s="22">
        <f t="shared" si="81"/>
        <v>0</v>
      </c>
      <c r="AG71" s="22">
        <f t="shared" si="82"/>
        <v>0</v>
      </c>
      <c r="AH71" s="22">
        <f t="shared" si="83"/>
        <v>0</v>
      </c>
      <c r="AI71" s="18" t="s">
        <v>221</v>
      </c>
      <c r="AJ71" s="22">
        <f t="shared" si="84"/>
        <v>0</v>
      </c>
      <c r="AK71" s="22">
        <f t="shared" si="85"/>
        <v>0</v>
      </c>
      <c r="AL71" s="22">
        <f t="shared" si="86"/>
        <v>0</v>
      </c>
      <c r="AN71" s="22">
        <v>21</v>
      </c>
      <c r="AO71" s="22">
        <f>H71*0.305824847250509</f>
        <v>0</v>
      </c>
      <c r="AP71" s="22">
        <f>H71*(1-0.305824847250509)</f>
        <v>0</v>
      </c>
      <c r="AQ71" s="13" t="s">
        <v>316</v>
      </c>
      <c r="AV71" s="22">
        <f t="shared" si="87"/>
        <v>0</v>
      </c>
      <c r="AW71" s="22">
        <f t="shared" si="88"/>
        <v>0</v>
      </c>
      <c r="AX71" s="22">
        <f t="shared" si="89"/>
        <v>0</v>
      </c>
      <c r="AY71" s="13" t="s">
        <v>281</v>
      </c>
      <c r="AZ71" s="13" t="s">
        <v>137</v>
      </c>
      <c r="BA71" s="18" t="s">
        <v>241</v>
      </c>
      <c r="BC71" s="22">
        <f t="shared" si="90"/>
        <v>0</v>
      </c>
      <c r="BD71" s="22">
        <f t="shared" si="91"/>
        <v>0</v>
      </c>
      <c r="BE71" s="22">
        <v>0</v>
      </c>
      <c r="BF71" s="22">
        <f t="shared" si="92"/>
        <v>0.096</v>
      </c>
      <c r="BH71" s="22">
        <f t="shared" si="93"/>
        <v>0</v>
      </c>
      <c r="BI71" s="22">
        <f t="shared" si="94"/>
        <v>0</v>
      </c>
      <c r="BJ71" s="22">
        <f t="shared" si="95"/>
        <v>0</v>
      </c>
      <c r="BK71" s="22"/>
      <c r="BL71" s="22">
        <v>784</v>
      </c>
    </row>
    <row r="72" spans="1:64" ht="15" customHeight="1">
      <c r="A72" s="43" t="s">
        <v>246</v>
      </c>
      <c r="B72" s="39" t="s">
        <v>221</v>
      </c>
      <c r="C72" s="39" t="s">
        <v>28</v>
      </c>
      <c r="D72" s="48" t="s">
        <v>247</v>
      </c>
      <c r="E72" s="48"/>
      <c r="F72" s="39" t="s">
        <v>309</v>
      </c>
      <c r="G72" s="22">
        <v>64</v>
      </c>
      <c r="H72" s="22">
        <v>0</v>
      </c>
      <c r="I72" s="22">
        <f t="shared" si="72"/>
        <v>0</v>
      </c>
      <c r="J72" s="22">
        <f t="shared" si="73"/>
        <v>0</v>
      </c>
      <c r="K72" s="22">
        <f t="shared" si="74"/>
        <v>0</v>
      </c>
      <c r="L72" s="22">
        <v>0.0018</v>
      </c>
      <c r="M72" s="22">
        <f t="shared" si="75"/>
        <v>0.1152</v>
      </c>
      <c r="N72" s="35" t="s">
        <v>353</v>
      </c>
      <c r="Z72" s="22">
        <f t="shared" si="76"/>
        <v>0</v>
      </c>
      <c r="AB72" s="22">
        <f t="shared" si="77"/>
        <v>0</v>
      </c>
      <c r="AC72" s="22">
        <f t="shared" si="78"/>
        <v>0</v>
      </c>
      <c r="AD72" s="22">
        <f t="shared" si="79"/>
        <v>0</v>
      </c>
      <c r="AE72" s="22">
        <f t="shared" si="80"/>
        <v>0</v>
      </c>
      <c r="AF72" s="22">
        <f t="shared" si="81"/>
        <v>0</v>
      </c>
      <c r="AG72" s="22">
        <f t="shared" si="82"/>
        <v>0</v>
      </c>
      <c r="AH72" s="22">
        <f t="shared" si="83"/>
        <v>0</v>
      </c>
      <c r="AI72" s="18" t="s">
        <v>221</v>
      </c>
      <c r="AJ72" s="22">
        <f t="shared" si="84"/>
        <v>0</v>
      </c>
      <c r="AK72" s="22">
        <f t="shared" si="85"/>
        <v>0</v>
      </c>
      <c r="AL72" s="22">
        <f t="shared" si="86"/>
        <v>0</v>
      </c>
      <c r="AN72" s="22">
        <v>21</v>
      </c>
      <c r="AO72" s="22">
        <f>H72*0.209236234458259</f>
        <v>0</v>
      </c>
      <c r="AP72" s="22">
        <f>H72*(1-0.209236234458259)</f>
        <v>0</v>
      </c>
      <c r="AQ72" s="13" t="s">
        <v>316</v>
      </c>
      <c r="AV72" s="22">
        <f t="shared" si="87"/>
        <v>0</v>
      </c>
      <c r="AW72" s="22">
        <f t="shared" si="88"/>
        <v>0</v>
      </c>
      <c r="AX72" s="22">
        <f t="shared" si="89"/>
        <v>0</v>
      </c>
      <c r="AY72" s="13" t="s">
        <v>281</v>
      </c>
      <c r="AZ72" s="13" t="s">
        <v>137</v>
      </c>
      <c r="BA72" s="18" t="s">
        <v>241</v>
      </c>
      <c r="BC72" s="22">
        <f t="shared" si="90"/>
        <v>0</v>
      </c>
      <c r="BD72" s="22">
        <f t="shared" si="91"/>
        <v>0</v>
      </c>
      <c r="BE72" s="22">
        <v>0</v>
      </c>
      <c r="BF72" s="22">
        <f t="shared" si="92"/>
        <v>0.1152</v>
      </c>
      <c r="BH72" s="22">
        <f t="shared" si="93"/>
        <v>0</v>
      </c>
      <c r="BI72" s="22">
        <f t="shared" si="94"/>
        <v>0</v>
      </c>
      <c r="BJ72" s="22">
        <f t="shared" si="95"/>
        <v>0</v>
      </c>
      <c r="BK72" s="22"/>
      <c r="BL72" s="22">
        <v>784</v>
      </c>
    </row>
    <row r="73" spans="1:64" ht="15" customHeight="1">
      <c r="A73" s="43" t="s">
        <v>262</v>
      </c>
      <c r="B73" s="39" t="s">
        <v>221</v>
      </c>
      <c r="C73" s="39" t="s">
        <v>73</v>
      </c>
      <c r="D73" s="48" t="s">
        <v>330</v>
      </c>
      <c r="E73" s="48"/>
      <c r="F73" s="39" t="s">
        <v>309</v>
      </c>
      <c r="G73" s="22">
        <v>32</v>
      </c>
      <c r="H73" s="22">
        <v>0</v>
      </c>
      <c r="I73" s="22">
        <f t="shared" si="72"/>
        <v>0</v>
      </c>
      <c r="J73" s="22">
        <f t="shared" si="73"/>
        <v>0</v>
      </c>
      <c r="K73" s="22">
        <f t="shared" si="74"/>
        <v>0</v>
      </c>
      <c r="L73" s="22">
        <v>7E-05</v>
      </c>
      <c r="M73" s="22">
        <f t="shared" si="75"/>
        <v>0.00224</v>
      </c>
      <c r="N73" s="35" t="s">
        <v>353</v>
      </c>
      <c r="Z73" s="22">
        <f t="shared" si="76"/>
        <v>0</v>
      </c>
      <c r="AB73" s="22">
        <f t="shared" si="77"/>
        <v>0</v>
      </c>
      <c r="AC73" s="22">
        <f t="shared" si="78"/>
        <v>0</v>
      </c>
      <c r="AD73" s="22">
        <f t="shared" si="79"/>
        <v>0</v>
      </c>
      <c r="AE73" s="22">
        <f t="shared" si="80"/>
        <v>0</v>
      </c>
      <c r="AF73" s="22">
        <f t="shared" si="81"/>
        <v>0</v>
      </c>
      <c r="AG73" s="22">
        <f t="shared" si="82"/>
        <v>0</v>
      </c>
      <c r="AH73" s="22">
        <f t="shared" si="83"/>
        <v>0</v>
      </c>
      <c r="AI73" s="18" t="s">
        <v>221</v>
      </c>
      <c r="AJ73" s="22">
        <f t="shared" si="84"/>
        <v>0</v>
      </c>
      <c r="AK73" s="22">
        <f t="shared" si="85"/>
        <v>0</v>
      </c>
      <c r="AL73" s="22">
        <f t="shared" si="86"/>
        <v>0</v>
      </c>
      <c r="AN73" s="22">
        <v>21</v>
      </c>
      <c r="AO73" s="22">
        <f>H73*0.302822580645161</f>
        <v>0</v>
      </c>
      <c r="AP73" s="22">
        <f>H73*(1-0.302822580645161)</f>
        <v>0</v>
      </c>
      <c r="AQ73" s="13" t="s">
        <v>316</v>
      </c>
      <c r="AV73" s="22">
        <f t="shared" si="87"/>
        <v>0</v>
      </c>
      <c r="AW73" s="22">
        <f t="shared" si="88"/>
        <v>0</v>
      </c>
      <c r="AX73" s="22">
        <f t="shared" si="89"/>
        <v>0</v>
      </c>
      <c r="AY73" s="13" t="s">
        <v>281</v>
      </c>
      <c r="AZ73" s="13" t="s">
        <v>137</v>
      </c>
      <c r="BA73" s="18" t="s">
        <v>241</v>
      </c>
      <c r="BC73" s="22">
        <f t="shared" si="90"/>
        <v>0</v>
      </c>
      <c r="BD73" s="22">
        <f t="shared" si="91"/>
        <v>0</v>
      </c>
      <c r="BE73" s="22">
        <v>0</v>
      </c>
      <c r="BF73" s="22">
        <f t="shared" si="92"/>
        <v>0.00224</v>
      </c>
      <c r="BH73" s="22">
        <f t="shared" si="93"/>
        <v>0</v>
      </c>
      <c r="BI73" s="22">
        <f t="shared" si="94"/>
        <v>0</v>
      </c>
      <c r="BJ73" s="22">
        <f t="shared" si="95"/>
        <v>0</v>
      </c>
      <c r="BK73" s="22"/>
      <c r="BL73" s="22">
        <v>784</v>
      </c>
    </row>
    <row r="74" spans="1:64" ht="15" customHeight="1">
      <c r="A74" s="43" t="s">
        <v>129</v>
      </c>
      <c r="B74" s="39" t="s">
        <v>221</v>
      </c>
      <c r="C74" s="39" t="s">
        <v>351</v>
      </c>
      <c r="D74" s="48" t="s">
        <v>243</v>
      </c>
      <c r="E74" s="48"/>
      <c r="F74" s="39" t="s">
        <v>309</v>
      </c>
      <c r="G74" s="22">
        <v>15</v>
      </c>
      <c r="H74" s="22">
        <v>0</v>
      </c>
      <c r="I74" s="22">
        <f t="shared" si="72"/>
        <v>0</v>
      </c>
      <c r="J74" s="22">
        <f t="shared" si="73"/>
        <v>0</v>
      </c>
      <c r="K74" s="22">
        <f t="shared" si="74"/>
        <v>0</v>
      </c>
      <c r="L74" s="22">
        <v>0.00021</v>
      </c>
      <c r="M74" s="22">
        <f t="shared" si="75"/>
        <v>0.00315</v>
      </c>
      <c r="N74" s="35" t="s">
        <v>353</v>
      </c>
      <c r="Z74" s="22">
        <f t="shared" si="76"/>
        <v>0</v>
      </c>
      <c r="AB74" s="22">
        <f t="shared" si="77"/>
        <v>0</v>
      </c>
      <c r="AC74" s="22">
        <f t="shared" si="78"/>
        <v>0</v>
      </c>
      <c r="AD74" s="22">
        <f t="shared" si="79"/>
        <v>0</v>
      </c>
      <c r="AE74" s="22">
        <f t="shared" si="80"/>
        <v>0</v>
      </c>
      <c r="AF74" s="22">
        <f t="shared" si="81"/>
        <v>0</v>
      </c>
      <c r="AG74" s="22">
        <f t="shared" si="82"/>
        <v>0</v>
      </c>
      <c r="AH74" s="22">
        <f t="shared" si="83"/>
        <v>0</v>
      </c>
      <c r="AI74" s="18" t="s">
        <v>221</v>
      </c>
      <c r="AJ74" s="22">
        <f t="shared" si="84"/>
        <v>0</v>
      </c>
      <c r="AK74" s="22">
        <f t="shared" si="85"/>
        <v>0</v>
      </c>
      <c r="AL74" s="22">
        <f t="shared" si="86"/>
        <v>0</v>
      </c>
      <c r="AN74" s="22">
        <v>21</v>
      </c>
      <c r="AO74" s="22">
        <f>H74*0.697163120567376</f>
        <v>0</v>
      </c>
      <c r="AP74" s="22">
        <f>H74*(1-0.697163120567376)</f>
        <v>0</v>
      </c>
      <c r="AQ74" s="13" t="s">
        <v>316</v>
      </c>
      <c r="AV74" s="22">
        <f t="shared" si="87"/>
        <v>0</v>
      </c>
      <c r="AW74" s="22">
        <f t="shared" si="88"/>
        <v>0</v>
      </c>
      <c r="AX74" s="22">
        <f t="shared" si="89"/>
        <v>0</v>
      </c>
      <c r="AY74" s="13" t="s">
        <v>281</v>
      </c>
      <c r="AZ74" s="13" t="s">
        <v>137</v>
      </c>
      <c r="BA74" s="18" t="s">
        <v>241</v>
      </c>
      <c r="BC74" s="22">
        <f t="shared" si="90"/>
        <v>0</v>
      </c>
      <c r="BD74" s="22">
        <f t="shared" si="91"/>
        <v>0</v>
      </c>
      <c r="BE74" s="22">
        <v>0</v>
      </c>
      <c r="BF74" s="22">
        <f t="shared" si="92"/>
        <v>0.00315</v>
      </c>
      <c r="BH74" s="22">
        <f t="shared" si="93"/>
        <v>0</v>
      </c>
      <c r="BI74" s="22">
        <f t="shared" si="94"/>
        <v>0</v>
      </c>
      <c r="BJ74" s="22">
        <f t="shared" si="95"/>
        <v>0</v>
      </c>
      <c r="BK74" s="22"/>
      <c r="BL74" s="22">
        <v>784</v>
      </c>
    </row>
    <row r="75" spans="1:64" ht="15" customHeight="1">
      <c r="A75" s="43" t="s">
        <v>125</v>
      </c>
      <c r="B75" s="39" t="s">
        <v>221</v>
      </c>
      <c r="C75" s="39" t="s">
        <v>343</v>
      </c>
      <c r="D75" s="48" t="s">
        <v>184</v>
      </c>
      <c r="E75" s="48"/>
      <c r="F75" s="39" t="s">
        <v>309</v>
      </c>
      <c r="G75" s="22">
        <v>47</v>
      </c>
      <c r="H75" s="22">
        <v>0</v>
      </c>
      <c r="I75" s="22">
        <f t="shared" si="72"/>
        <v>0</v>
      </c>
      <c r="J75" s="22">
        <f t="shared" si="73"/>
        <v>0</v>
      </c>
      <c r="K75" s="22">
        <f t="shared" si="74"/>
        <v>0</v>
      </c>
      <c r="L75" s="22">
        <v>0.00015</v>
      </c>
      <c r="M75" s="22">
        <f t="shared" si="75"/>
        <v>0.007049999999999999</v>
      </c>
      <c r="N75" s="35" t="s">
        <v>353</v>
      </c>
      <c r="Z75" s="22">
        <f t="shared" si="76"/>
        <v>0</v>
      </c>
      <c r="AB75" s="22">
        <f t="shared" si="77"/>
        <v>0</v>
      </c>
      <c r="AC75" s="22">
        <f t="shared" si="78"/>
        <v>0</v>
      </c>
      <c r="AD75" s="22">
        <f t="shared" si="79"/>
        <v>0</v>
      </c>
      <c r="AE75" s="22">
        <f t="shared" si="80"/>
        <v>0</v>
      </c>
      <c r="AF75" s="22">
        <f t="shared" si="81"/>
        <v>0</v>
      </c>
      <c r="AG75" s="22">
        <f t="shared" si="82"/>
        <v>0</v>
      </c>
      <c r="AH75" s="22">
        <f t="shared" si="83"/>
        <v>0</v>
      </c>
      <c r="AI75" s="18" t="s">
        <v>221</v>
      </c>
      <c r="AJ75" s="22">
        <f t="shared" si="84"/>
        <v>0</v>
      </c>
      <c r="AK75" s="22">
        <f t="shared" si="85"/>
        <v>0</v>
      </c>
      <c r="AL75" s="22">
        <f t="shared" si="86"/>
        <v>0</v>
      </c>
      <c r="AN75" s="22">
        <v>21</v>
      </c>
      <c r="AO75" s="22">
        <f>H75*0.10710166419509</f>
        <v>0</v>
      </c>
      <c r="AP75" s="22">
        <f>H75*(1-0.10710166419509)</f>
        <v>0</v>
      </c>
      <c r="AQ75" s="13" t="s">
        <v>316</v>
      </c>
      <c r="AV75" s="22">
        <f t="shared" si="87"/>
        <v>0</v>
      </c>
      <c r="AW75" s="22">
        <f t="shared" si="88"/>
        <v>0</v>
      </c>
      <c r="AX75" s="22">
        <f t="shared" si="89"/>
        <v>0</v>
      </c>
      <c r="AY75" s="13" t="s">
        <v>281</v>
      </c>
      <c r="AZ75" s="13" t="s">
        <v>137</v>
      </c>
      <c r="BA75" s="18" t="s">
        <v>241</v>
      </c>
      <c r="BC75" s="22">
        <f t="shared" si="90"/>
        <v>0</v>
      </c>
      <c r="BD75" s="22">
        <f t="shared" si="91"/>
        <v>0</v>
      </c>
      <c r="BE75" s="22">
        <v>0</v>
      </c>
      <c r="BF75" s="22">
        <f t="shared" si="92"/>
        <v>0.007049999999999999</v>
      </c>
      <c r="BH75" s="22">
        <f t="shared" si="93"/>
        <v>0</v>
      </c>
      <c r="BI75" s="22">
        <f t="shared" si="94"/>
        <v>0</v>
      </c>
      <c r="BJ75" s="22">
        <f t="shared" si="95"/>
        <v>0</v>
      </c>
      <c r="BK75" s="22"/>
      <c r="BL75" s="22">
        <v>784</v>
      </c>
    </row>
    <row r="76" spans="1:64" ht="15" customHeight="1">
      <c r="A76" s="43" t="s">
        <v>151</v>
      </c>
      <c r="B76" s="39" t="s">
        <v>221</v>
      </c>
      <c r="C76" s="39" t="s">
        <v>130</v>
      </c>
      <c r="D76" s="48" t="s">
        <v>77</v>
      </c>
      <c r="E76" s="48"/>
      <c r="F76" s="39" t="s">
        <v>263</v>
      </c>
      <c r="G76" s="22">
        <v>14</v>
      </c>
      <c r="H76" s="22">
        <v>0</v>
      </c>
      <c r="I76" s="22">
        <f t="shared" si="72"/>
        <v>0</v>
      </c>
      <c r="J76" s="22">
        <f t="shared" si="73"/>
        <v>0</v>
      </c>
      <c r="K76" s="22">
        <f t="shared" si="74"/>
        <v>0</v>
      </c>
      <c r="L76" s="22">
        <v>0</v>
      </c>
      <c r="M76" s="22">
        <f t="shared" si="75"/>
        <v>0</v>
      </c>
      <c r="N76" s="35" t="s">
        <v>353</v>
      </c>
      <c r="Z76" s="22">
        <f t="shared" si="76"/>
        <v>0</v>
      </c>
      <c r="AB76" s="22">
        <f t="shared" si="77"/>
        <v>0</v>
      </c>
      <c r="AC76" s="22">
        <f t="shared" si="78"/>
        <v>0</v>
      </c>
      <c r="AD76" s="22">
        <f t="shared" si="79"/>
        <v>0</v>
      </c>
      <c r="AE76" s="22">
        <f t="shared" si="80"/>
        <v>0</v>
      </c>
      <c r="AF76" s="22">
        <f t="shared" si="81"/>
        <v>0</v>
      </c>
      <c r="AG76" s="22">
        <f t="shared" si="82"/>
        <v>0</v>
      </c>
      <c r="AH76" s="22">
        <f t="shared" si="83"/>
        <v>0</v>
      </c>
      <c r="AI76" s="18" t="s">
        <v>221</v>
      </c>
      <c r="AJ76" s="22">
        <f t="shared" si="84"/>
        <v>0</v>
      </c>
      <c r="AK76" s="22">
        <f t="shared" si="85"/>
        <v>0</v>
      </c>
      <c r="AL76" s="22">
        <f t="shared" si="86"/>
        <v>0</v>
      </c>
      <c r="AN76" s="22">
        <v>21</v>
      </c>
      <c r="AO76" s="22">
        <f>H76*0.169117647058824</f>
        <v>0</v>
      </c>
      <c r="AP76" s="22">
        <f>H76*(1-0.169117647058824)</f>
        <v>0</v>
      </c>
      <c r="AQ76" s="13" t="s">
        <v>316</v>
      </c>
      <c r="AV76" s="22">
        <f t="shared" si="87"/>
        <v>0</v>
      </c>
      <c r="AW76" s="22">
        <f t="shared" si="88"/>
        <v>0</v>
      </c>
      <c r="AX76" s="22">
        <f t="shared" si="89"/>
        <v>0</v>
      </c>
      <c r="AY76" s="13" t="s">
        <v>281</v>
      </c>
      <c r="AZ76" s="13" t="s">
        <v>137</v>
      </c>
      <c r="BA76" s="18" t="s">
        <v>241</v>
      </c>
      <c r="BC76" s="22">
        <f t="shared" si="90"/>
        <v>0</v>
      </c>
      <c r="BD76" s="22">
        <f t="shared" si="91"/>
        <v>0</v>
      </c>
      <c r="BE76" s="22">
        <v>0</v>
      </c>
      <c r="BF76" s="22">
        <f t="shared" si="92"/>
        <v>0</v>
      </c>
      <c r="BH76" s="22">
        <f t="shared" si="93"/>
        <v>0</v>
      </c>
      <c r="BI76" s="22">
        <f t="shared" si="94"/>
        <v>0</v>
      </c>
      <c r="BJ76" s="22">
        <f t="shared" si="95"/>
        <v>0</v>
      </c>
      <c r="BK76" s="22"/>
      <c r="BL76" s="22">
        <v>784</v>
      </c>
    </row>
    <row r="77" spans="1:47" ht="15" customHeight="1">
      <c r="A77" s="33" t="s">
        <v>221</v>
      </c>
      <c r="B77" s="41" t="s">
        <v>221</v>
      </c>
      <c r="C77" s="41" t="s">
        <v>333</v>
      </c>
      <c r="D77" s="65" t="s">
        <v>92</v>
      </c>
      <c r="E77" s="65"/>
      <c r="F77" s="28" t="s">
        <v>294</v>
      </c>
      <c r="G77" s="28" t="s">
        <v>294</v>
      </c>
      <c r="H77" s="28" t="s">
        <v>294</v>
      </c>
      <c r="I77" s="26">
        <f>SUM(I78:I79)</f>
        <v>0</v>
      </c>
      <c r="J77" s="26">
        <f>SUM(J78:J79)</f>
        <v>0</v>
      </c>
      <c r="K77" s="26">
        <f>SUM(K78:K79)</f>
        <v>0</v>
      </c>
      <c r="L77" s="18" t="s">
        <v>221</v>
      </c>
      <c r="M77" s="26">
        <f>SUM(M78:M79)</f>
        <v>0</v>
      </c>
      <c r="N77" s="34" t="s">
        <v>221</v>
      </c>
      <c r="AI77" s="18" t="s">
        <v>221</v>
      </c>
      <c r="AS77" s="26">
        <f>SUM(AJ78:AJ79)</f>
        <v>0</v>
      </c>
      <c r="AT77" s="26">
        <f>SUM(AK78:AK79)</f>
        <v>0</v>
      </c>
      <c r="AU77" s="26">
        <f>SUM(AL78:AL79)</f>
        <v>0</v>
      </c>
    </row>
    <row r="78" spans="1:64" ht="15" customHeight="1">
      <c r="A78" s="43" t="s">
        <v>293</v>
      </c>
      <c r="B78" s="39" t="s">
        <v>221</v>
      </c>
      <c r="C78" s="39" t="s">
        <v>250</v>
      </c>
      <c r="D78" s="48" t="s">
        <v>198</v>
      </c>
      <c r="E78" s="48"/>
      <c r="F78" s="39" t="s">
        <v>139</v>
      </c>
      <c r="G78" s="22">
        <v>15</v>
      </c>
      <c r="H78" s="22">
        <v>0</v>
      </c>
      <c r="I78" s="22">
        <f>G78*AO78</f>
        <v>0</v>
      </c>
      <c r="J78" s="22">
        <f>G78*AP78</f>
        <v>0</v>
      </c>
      <c r="K78" s="22">
        <f>G78*H78</f>
        <v>0</v>
      </c>
      <c r="L78" s="22">
        <v>0</v>
      </c>
      <c r="M78" s="22">
        <f>G78*L78</f>
        <v>0</v>
      </c>
      <c r="N78" s="35" t="s">
        <v>353</v>
      </c>
      <c r="Z78" s="22">
        <f>IF(AQ78="5",BJ78,0)</f>
        <v>0</v>
      </c>
      <c r="AB78" s="22">
        <f>IF(AQ78="1",BH78,0)</f>
        <v>0</v>
      </c>
      <c r="AC78" s="22">
        <f>IF(AQ78="1",BI78,0)</f>
        <v>0</v>
      </c>
      <c r="AD78" s="22">
        <f>IF(AQ78="7",BH78,0)</f>
        <v>0</v>
      </c>
      <c r="AE78" s="22">
        <f>IF(AQ78="7",BI78,0)</f>
        <v>0</v>
      </c>
      <c r="AF78" s="22">
        <f>IF(AQ78="2",BH78,0)</f>
        <v>0</v>
      </c>
      <c r="AG78" s="22">
        <f>IF(AQ78="2",BI78,0)</f>
        <v>0</v>
      </c>
      <c r="AH78" s="22">
        <f>IF(AQ78="0",BJ78,0)</f>
        <v>0</v>
      </c>
      <c r="AI78" s="18" t="s">
        <v>221</v>
      </c>
      <c r="AJ78" s="22">
        <f>IF(AN78=0,K78,0)</f>
        <v>0</v>
      </c>
      <c r="AK78" s="22">
        <f>IF(AN78=15,K78,0)</f>
        <v>0</v>
      </c>
      <c r="AL78" s="22">
        <f>IF(AN78=21,K78,0)</f>
        <v>0</v>
      </c>
      <c r="AN78" s="22">
        <v>21</v>
      </c>
      <c r="AO78" s="22">
        <f>H78*0</f>
        <v>0</v>
      </c>
      <c r="AP78" s="22">
        <f>H78*(1-0)</f>
        <v>0</v>
      </c>
      <c r="AQ78" s="13" t="s">
        <v>313</v>
      </c>
      <c r="AV78" s="22">
        <f>AW78+AX78</f>
        <v>0</v>
      </c>
      <c r="AW78" s="22">
        <f>G78*AO78</f>
        <v>0</v>
      </c>
      <c r="AX78" s="22">
        <f>G78*AP78</f>
        <v>0</v>
      </c>
      <c r="AY78" s="13" t="s">
        <v>80</v>
      </c>
      <c r="AZ78" s="13" t="s">
        <v>106</v>
      </c>
      <c r="BA78" s="18" t="s">
        <v>241</v>
      </c>
      <c r="BC78" s="22">
        <f>AW78+AX78</f>
        <v>0</v>
      </c>
      <c r="BD78" s="22">
        <f>H78/(100-BE78)*100</f>
        <v>0</v>
      </c>
      <c r="BE78" s="22">
        <v>0</v>
      </c>
      <c r="BF78" s="22">
        <f>M78</f>
        <v>0</v>
      </c>
      <c r="BH78" s="22">
        <f>G78*AO78</f>
        <v>0</v>
      </c>
      <c r="BI78" s="22">
        <f>G78*AP78</f>
        <v>0</v>
      </c>
      <c r="BJ78" s="22">
        <f>G78*H78</f>
        <v>0</v>
      </c>
      <c r="BK78" s="22"/>
      <c r="BL78" s="22">
        <v>90</v>
      </c>
    </row>
    <row r="79" spans="1:64" ht="15" customHeight="1">
      <c r="A79" s="43" t="s">
        <v>210</v>
      </c>
      <c r="B79" s="39" t="s">
        <v>221</v>
      </c>
      <c r="C79" s="39" t="s">
        <v>285</v>
      </c>
      <c r="D79" s="48" t="s">
        <v>335</v>
      </c>
      <c r="E79" s="48"/>
      <c r="F79" s="39" t="s">
        <v>139</v>
      </c>
      <c r="G79" s="22">
        <v>32</v>
      </c>
      <c r="H79" s="22">
        <v>0</v>
      </c>
      <c r="I79" s="22">
        <f>G79*AO79</f>
        <v>0</v>
      </c>
      <c r="J79" s="22">
        <f>G79*AP79</f>
        <v>0</v>
      </c>
      <c r="K79" s="22">
        <f>G79*H79</f>
        <v>0</v>
      </c>
      <c r="L79" s="22">
        <v>0</v>
      </c>
      <c r="M79" s="22">
        <f>G79*L79</f>
        <v>0</v>
      </c>
      <c r="N79" s="35" t="s">
        <v>353</v>
      </c>
      <c r="Z79" s="22">
        <f>IF(AQ79="5",BJ79,0)</f>
        <v>0</v>
      </c>
      <c r="AB79" s="22">
        <f>IF(AQ79="1",BH79,0)</f>
        <v>0</v>
      </c>
      <c r="AC79" s="22">
        <f>IF(AQ79="1",BI79,0)</f>
        <v>0</v>
      </c>
      <c r="AD79" s="22">
        <f>IF(AQ79="7",BH79,0)</f>
        <v>0</v>
      </c>
      <c r="AE79" s="22">
        <f>IF(AQ79="7",BI79,0)</f>
        <v>0</v>
      </c>
      <c r="AF79" s="22">
        <f>IF(AQ79="2",BH79,0)</f>
        <v>0</v>
      </c>
      <c r="AG79" s="22">
        <f>IF(AQ79="2",BI79,0)</f>
        <v>0</v>
      </c>
      <c r="AH79" s="22">
        <f>IF(AQ79="0",BJ79,0)</f>
        <v>0</v>
      </c>
      <c r="AI79" s="18" t="s">
        <v>221</v>
      </c>
      <c r="AJ79" s="22">
        <f>IF(AN79=0,K79,0)</f>
        <v>0</v>
      </c>
      <c r="AK79" s="22">
        <f>IF(AN79=15,K79,0)</f>
        <v>0</v>
      </c>
      <c r="AL79" s="22">
        <f>IF(AN79=21,K79,0)</f>
        <v>0</v>
      </c>
      <c r="AN79" s="22">
        <v>21</v>
      </c>
      <c r="AO79" s="22">
        <f>H79*0</f>
        <v>0</v>
      </c>
      <c r="AP79" s="22">
        <f>H79*(1-0)</f>
        <v>0</v>
      </c>
      <c r="AQ79" s="13" t="s">
        <v>313</v>
      </c>
      <c r="AV79" s="22">
        <f>AW79+AX79</f>
        <v>0</v>
      </c>
      <c r="AW79" s="22">
        <f>G79*AO79</f>
        <v>0</v>
      </c>
      <c r="AX79" s="22">
        <f>G79*AP79</f>
        <v>0</v>
      </c>
      <c r="AY79" s="13" t="s">
        <v>80</v>
      </c>
      <c r="AZ79" s="13" t="s">
        <v>106</v>
      </c>
      <c r="BA79" s="18" t="s">
        <v>241</v>
      </c>
      <c r="BC79" s="22">
        <f>AW79+AX79</f>
        <v>0</v>
      </c>
      <c r="BD79" s="22">
        <f>H79/(100-BE79)*100</f>
        <v>0</v>
      </c>
      <c r="BE79" s="22">
        <v>0</v>
      </c>
      <c r="BF79" s="22">
        <f>M79</f>
        <v>0</v>
      </c>
      <c r="BH79" s="22">
        <f>G79*AO79</f>
        <v>0</v>
      </c>
      <c r="BI79" s="22">
        <f>G79*AP79</f>
        <v>0</v>
      </c>
      <c r="BJ79" s="22">
        <f>G79*H79</f>
        <v>0</v>
      </c>
      <c r="BK79" s="22"/>
      <c r="BL79" s="22">
        <v>90</v>
      </c>
    </row>
    <row r="80" spans="1:47" ht="15" customHeight="1">
      <c r="A80" s="33" t="s">
        <v>221</v>
      </c>
      <c r="B80" s="41" t="s">
        <v>221</v>
      </c>
      <c r="C80" s="41" t="s">
        <v>33</v>
      </c>
      <c r="D80" s="65" t="s">
        <v>224</v>
      </c>
      <c r="E80" s="65"/>
      <c r="F80" s="28" t="s">
        <v>294</v>
      </c>
      <c r="G80" s="28" t="s">
        <v>294</v>
      </c>
      <c r="H80" s="28" t="s">
        <v>294</v>
      </c>
      <c r="I80" s="26">
        <f>SUM(I81:I81)</f>
        <v>0</v>
      </c>
      <c r="J80" s="26">
        <f>SUM(J81:J81)</f>
        <v>0</v>
      </c>
      <c r="K80" s="26">
        <f>SUM(K81:K81)</f>
        <v>0</v>
      </c>
      <c r="L80" s="18" t="s">
        <v>221</v>
      </c>
      <c r="M80" s="26">
        <f>SUM(M81:M81)</f>
        <v>0.0158</v>
      </c>
      <c r="N80" s="34" t="s">
        <v>221</v>
      </c>
      <c r="AI80" s="18" t="s">
        <v>221</v>
      </c>
      <c r="AS80" s="26">
        <f>SUM(AJ81:AJ81)</f>
        <v>0</v>
      </c>
      <c r="AT80" s="26">
        <f>SUM(AK81:AK81)</f>
        <v>0</v>
      </c>
      <c r="AU80" s="26">
        <f>SUM(AL81:AL81)</f>
        <v>0</v>
      </c>
    </row>
    <row r="81" spans="1:64" ht="15" customHeight="1">
      <c r="A81" s="43" t="s">
        <v>197</v>
      </c>
      <c r="B81" s="39" t="s">
        <v>221</v>
      </c>
      <c r="C81" s="39" t="s">
        <v>326</v>
      </c>
      <c r="D81" s="48" t="s">
        <v>257</v>
      </c>
      <c r="E81" s="48"/>
      <c r="F81" s="39" t="s">
        <v>309</v>
      </c>
      <c r="G81" s="22">
        <v>10</v>
      </c>
      <c r="H81" s="22">
        <v>0</v>
      </c>
      <c r="I81" s="22">
        <f>G81*AO81</f>
        <v>0</v>
      </c>
      <c r="J81" s="22">
        <f>G81*AP81</f>
        <v>0</v>
      </c>
      <c r="K81" s="22">
        <f>G81*H81</f>
        <v>0</v>
      </c>
      <c r="L81" s="22">
        <v>0.00158</v>
      </c>
      <c r="M81" s="22">
        <f>G81*L81</f>
        <v>0.0158</v>
      </c>
      <c r="N81" s="35" t="s">
        <v>353</v>
      </c>
      <c r="Z81" s="22">
        <f>IF(AQ81="5",BJ81,0)</f>
        <v>0</v>
      </c>
      <c r="AB81" s="22">
        <f>IF(AQ81="1",BH81,0)</f>
        <v>0</v>
      </c>
      <c r="AC81" s="22">
        <f>IF(AQ81="1",BI81,0)</f>
        <v>0</v>
      </c>
      <c r="AD81" s="22">
        <f>IF(AQ81="7",BH81,0)</f>
        <v>0</v>
      </c>
      <c r="AE81" s="22">
        <f>IF(AQ81="7",BI81,0)</f>
        <v>0</v>
      </c>
      <c r="AF81" s="22">
        <f>IF(AQ81="2",BH81,0)</f>
        <v>0</v>
      </c>
      <c r="AG81" s="22">
        <f>IF(AQ81="2",BI81,0)</f>
        <v>0</v>
      </c>
      <c r="AH81" s="22">
        <f>IF(AQ81="0",BJ81,0)</f>
        <v>0</v>
      </c>
      <c r="AI81" s="18" t="s">
        <v>221</v>
      </c>
      <c r="AJ81" s="22">
        <f>IF(AN81=0,K81,0)</f>
        <v>0</v>
      </c>
      <c r="AK81" s="22">
        <f>IF(AN81=15,K81,0)</f>
        <v>0</v>
      </c>
      <c r="AL81" s="22">
        <f>IF(AN81=21,K81,0)</f>
        <v>0</v>
      </c>
      <c r="AN81" s="22">
        <v>21</v>
      </c>
      <c r="AO81" s="22">
        <f>H81*0.422332361516035</f>
        <v>0</v>
      </c>
      <c r="AP81" s="22">
        <f>H81*(1-0.422332361516035)</f>
        <v>0</v>
      </c>
      <c r="AQ81" s="13" t="s">
        <v>313</v>
      </c>
      <c r="AV81" s="22">
        <f>AW81+AX81</f>
        <v>0</v>
      </c>
      <c r="AW81" s="22">
        <f>G81*AO81</f>
        <v>0</v>
      </c>
      <c r="AX81" s="22">
        <f>G81*AP81</f>
        <v>0</v>
      </c>
      <c r="AY81" s="13" t="s">
        <v>342</v>
      </c>
      <c r="AZ81" s="13" t="s">
        <v>106</v>
      </c>
      <c r="BA81" s="18" t="s">
        <v>241</v>
      </c>
      <c r="BC81" s="22">
        <f>AW81+AX81</f>
        <v>0</v>
      </c>
      <c r="BD81" s="22">
        <f>H81/(100-BE81)*100</f>
        <v>0</v>
      </c>
      <c r="BE81" s="22">
        <v>0</v>
      </c>
      <c r="BF81" s="22">
        <f>M81</f>
        <v>0.0158</v>
      </c>
      <c r="BH81" s="22">
        <f>G81*AO81</f>
        <v>0</v>
      </c>
      <c r="BI81" s="22">
        <f>G81*AP81</f>
        <v>0</v>
      </c>
      <c r="BJ81" s="22">
        <f>G81*H81</f>
        <v>0</v>
      </c>
      <c r="BK81" s="22"/>
      <c r="BL81" s="22">
        <v>94</v>
      </c>
    </row>
    <row r="82" spans="1:47" ht="15" customHeight="1">
      <c r="A82" s="33" t="s">
        <v>221</v>
      </c>
      <c r="B82" s="41" t="s">
        <v>221</v>
      </c>
      <c r="C82" s="41" t="s">
        <v>118</v>
      </c>
      <c r="D82" s="65" t="s">
        <v>21</v>
      </c>
      <c r="E82" s="65"/>
      <c r="F82" s="28" t="s">
        <v>294</v>
      </c>
      <c r="G82" s="28" t="s">
        <v>294</v>
      </c>
      <c r="H82" s="28" t="s">
        <v>294</v>
      </c>
      <c r="I82" s="26">
        <f>SUM(I83:I83)</f>
        <v>0</v>
      </c>
      <c r="J82" s="26">
        <f>SUM(J83:J83)</f>
        <v>0</v>
      </c>
      <c r="K82" s="26">
        <f>SUM(K83:K83)</f>
        <v>0</v>
      </c>
      <c r="L82" s="18" t="s">
        <v>221</v>
      </c>
      <c r="M82" s="26">
        <f>SUM(M83:M83)</f>
        <v>0.00568</v>
      </c>
      <c r="N82" s="34" t="s">
        <v>221</v>
      </c>
      <c r="AI82" s="18" t="s">
        <v>221</v>
      </c>
      <c r="AS82" s="26">
        <f>SUM(AJ83:AJ83)</f>
        <v>0</v>
      </c>
      <c r="AT82" s="26">
        <f>SUM(AK83:AK83)</f>
        <v>0</v>
      </c>
      <c r="AU82" s="26">
        <f>SUM(AL83:AL83)</f>
        <v>0</v>
      </c>
    </row>
    <row r="83" spans="1:64" ht="15" customHeight="1">
      <c r="A83" s="43" t="s">
        <v>297</v>
      </c>
      <c r="B83" s="39" t="s">
        <v>221</v>
      </c>
      <c r="C83" s="39" t="s">
        <v>280</v>
      </c>
      <c r="D83" s="48" t="s">
        <v>88</v>
      </c>
      <c r="E83" s="48"/>
      <c r="F83" s="39" t="s">
        <v>309</v>
      </c>
      <c r="G83" s="22">
        <v>142</v>
      </c>
      <c r="H83" s="22">
        <v>0</v>
      </c>
      <c r="I83" s="22">
        <f>G83*AO83</f>
        <v>0</v>
      </c>
      <c r="J83" s="22">
        <f>G83*AP83</f>
        <v>0</v>
      </c>
      <c r="K83" s="22">
        <f>G83*H83</f>
        <v>0</v>
      </c>
      <c r="L83" s="22">
        <v>4E-05</v>
      </c>
      <c r="M83" s="22">
        <f>G83*L83</f>
        <v>0.00568</v>
      </c>
      <c r="N83" s="35" t="s">
        <v>353</v>
      </c>
      <c r="Z83" s="22">
        <f>IF(AQ83="5",BJ83,0)</f>
        <v>0</v>
      </c>
      <c r="AB83" s="22">
        <f>IF(AQ83="1",BH83,0)</f>
        <v>0</v>
      </c>
      <c r="AC83" s="22">
        <f>IF(AQ83="1",BI83,0)</f>
        <v>0</v>
      </c>
      <c r="AD83" s="22">
        <f>IF(AQ83="7",BH83,0)</f>
        <v>0</v>
      </c>
      <c r="AE83" s="22">
        <f>IF(AQ83="7",BI83,0)</f>
        <v>0</v>
      </c>
      <c r="AF83" s="22">
        <f>IF(AQ83="2",BH83,0)</f>
        <v>0</v>
      </c>
      <c r="AG83" s="22">
        <f>IF(AQ83="2",BI83,0)</f>
        <v>0</v>
      </c>
      <c r="AH83" s="22">
        <f>IF(AQ83="0",BJ83,0)</f>
        <v>0</v>
      </c>
      <c r="AI83" s="18" t="s">
        <v>221</v>
      </c>
      <c r="AJ83" s="22">
        <f>IF(AN83=0,K83,0)</f>
        <v>0</v>
      </c>
      <c r="AK83" s="22">
        <f>IF(AN83=15,K83,0)</f>
        <v>0</v>
      </c>
      <c r="AL83" s="22">
        <f>IF(AN83=21,K83,0)</f>
        <v>0</v>
      </c>
      <c r="AN83" s="22">
        <v>21</v>
      </c>
      <c r="AO83" s="22">
        <f>H83*0.0121374045801527</f>
        <v>0</v>
      </c>
      <c r="AP83" s="22">
        <f>H83*(1-0.0121374045801527)</f>
        <v>0</v>
      </c>
      <c r="AQ83" s="13" t="s">
        <v>313</v>
      </c>
      <c r="AV83" s="22">
        <f>AW83+AX83</f>
        <v>0</v>
      </c>
      <c r="AW83" s="22">
        <f>G83*AO83</f>
        <v>0</v>
      </c>
      <c r="AX83" s="22">
        <f>G83*AP83</f>
        <v>0</v>
      </c>
      <c r="AY83" s="13" t="s">
        <v>188</v>
      </c>
      <c r="AZ83" s="13" t="s">
        <v>106</v>
      </c>
      <c r="BA83" s="18" t="s">
        <v>241</v>
      </c>
      <c r="BC83" s="22">
        <f>AW83+AX83</f>
        <v>0</v>
      </c>
      <c r="BD83" s="22">
        <f>H83/(100-BE83)*100</f>
        <v>0</v>
      </c>
      <c r="BE83" s="22">
        <v>0</v>
      </c>
      <c r="BF83" s="22">
        <f>M83</f>
        <v>0.00568</v>
      </c>
      <c r="BH83" s="22">
        <f>G83*AO83</f>
        <v>0</v>
      </c>
      <c r="BI83" s="22">
        <f>G83*AP83</f>
        <v>0</v>
      </c>
      <c r="BJ83" s="22">
        <f>G83*H83</f>
        <v>0</v>
      </c>
      <c r="BK83" s="22"/>
      <c r="BL83" s="22">
        <v>95</v>
      </c>
    </row>
    <row r="84" spans="1:47" ht="15" customHeight="1">
      <c r="A84" s="33" t="s">
        <v>221</v>
      </c>
      <c r="B84" s="41" t="s">
        <v>221</v>
      </c>
      <c r="C84" s="41" t="s">
        <v>171</v>
      </c>
      <c r="D84" s="65" t="s">
        <v>237</v>
      </c>
      <c r="E84" s="65"/>
      <c r="F84" s="28" t="s">
        <v>294</v>
      </c>
      <c r="G84" s="28" t="s">
        <v>294</v>
      </c>
      <c r="H84" s="28" t="s">
        <v>294</v>
      </c>
      <c r="I84" s="26">
        <f>SUM(I85:I88)</f>
        <v>0</v>
      </c>
      <c r="J84" s="26">
        <f>SUM(J85:J88)</f>
        <v>0</v>
      </c>
      <c r="K84" s="26">
        <f>SUM(K85:K88)</f>
        <v>0</v>
      </c>
      <c r="L84" s="18" t="s">
        <v>221</v>
      </c>
      <c r="M84" s="26">
        <f>SUM(M85:M88)</f>
        <v>3.34132</v>
      </c>
      <c r="N84" s="34" t="s">
        <v>221</v>
      </c>
      <c r="AI84" s="18" t="s">
        <v>221</v>
      </c>
      <c r="AS84" s="26">
        <f>SUM(AJ85:AJ88)</f>
        <v>0</v>
      </c>
      <c r="AT84" s="26">
        <f>SUM(AK85:AK88)</f>
        <v>0</v>
      </c>
      <c r="AU84" s="26">
        <f>SUM(AL85:AL88)</f>
        <v>0</v>
      </c>
    </row>
    <row r="85" spans="1:64" ht="15" customHeight="1">
      <c r="A85" s="43" t="s">
        <v>179</v>
      </c>
      <c r="B85" s="39" t="s">
        <v>221</v>
      </c>
      <c r="C85" s="39" t="s">
        <v>55</v>
      </c>
      <c r="D85" s="48" t="s">
        <v>172</v>
      </c>
      <c r="E85" s="48"/>
      <c r="F85" s="39" t="s">
        <v>309</v>
      </c>
      <c r="G85" s="22">
        <v>36</v>
      </c>
      <c r="H85" s="22">
        <v>0</v>
      </c>
      <c r="I85" s="22">
        <f>G85*AO85</f>
        <v>0</v>
      </c>
      <c r="J85" s="22">
        <f>G85*AP85</f>
        <v>0</v>
      </c>
      <c r="K85" s="22">
        <f>G85*H85</f>
        <v>0</v>
      </c>
      <c r="L85" s="22">
        <v>0.07717</v>
      </c>
      <c r="M85" s="22">
        <f>G85*L85</f>
        <v>2.77812</v>
      </c>
      <c r="N85" s="35" t="s">
        <v>353</v>
      </c>
      <c r="Z85" s="22">
        <f>IF(AQ85="5",BJ85,0)</f>
        <v>0</v>
      </c>
      <c r="AB85" s="22">
        <f>IF(AQ85="1",BH85,0)</f>
        <v>0</v>
      </c>
      <c r="AC85" s="22">
        <f>IF(AQ85="1",BI85,0)</f>
        <v>0</v>
      </c>
      <c r="AD85" s="22">
        <f>IF(AQ85="7",BH85,0)</f>
        <v>0</v>
      </c>
      <c r="AE85" s="22">
        <f>IF(AQ85="7",BI85,0)</f>
        <v>0</v>
      </c>
      <c r="AF85" s="22">
        <f>IF(AQ85="2",BH85,0)</f>
        <v>0</v>
      </c>
      <c r="AG85" s="22">
        <f>IF(AQ85="2",BI85,0)</f>
        <v>0</v>
      </c>
      <c r="AH85" s="22">
        <f>IF(AQ85="0",BJ85,0)</f>
        <v>0</v>
      </c>
      <c r="AI85" s="18" t="s">
        <v>221</v>
      </c>
      <c r="AJ85" s="22">
        <f>IF(AN85=0,K85,0)</f>
        <v>0</v>
      </c>
      <c r="AK85" s="22">
        <f>IF(AN85=15,K85,0)</f>
        <v>0</v>
      </c>
      <c r="AL85" s="22">
        <f>IF(AN85=21,K85,0)</f>
        <v>0</v>
      </c>
      <c r="AN85" s="22">
        <v>21</v>
      </c>
      <c r="AO85" s="22">
        <f>H85*0.0794443541081094</f>
        <v>0</v>
      </c>
      <c r="AP85" s="22">
        <f>H85*(1-0.0794443541081094)</f>
        <v>0</v>
      </c>
      <c r="AQ85" s="13" t="s">
        <v>313</v>
      </c>
      <c r="AV85" s="22">
        <f>AW85+AX85</f>
        <v>0</v>
      </c>
      <c r="AW85" s="22">
        <f>G85*AO85</f>
        <v>0</v>
      </c>
      <c r="AX85" s="22">
        <f>G85*AP85</f>
        <v>0</v>
      </c>
      <c r="AY85" s="13" t="s">
        <v>279</v>
      </c>
      <c r="AZ85" s="13" t="s">
        <v>106</v>
      </c>
      <c r="BA85" s="18" t="s">
        <v>241</v>
      </c>
      <c r="BC85" s="22">
        <f>AW85+AX85</f>
        <v>0</v>
      </c>
      <c r="BD85" s="22">
        <f>H85/(100-BE85)*100</f>
        <v>0</v>
      </c>
      <c r="BE85" s="22">
        <v>0</v>
      </c>
      <c r="BF85" s="22">
        <f>M85</f>
        <v>2.77812</v>
      </c>
      <c r="BH85" s="22">
        <f>G85*AO85</f>
        <v>0</v>
      </c>
      <c r="BI85" s="22">
        <f>G85*AP85</f>
        <v>0</v>
      </c>
      <c r="BJ85" s="22">
        <f>G85*H85</f>
        <v>0</v>
      </c>
      <c r="BK85" s="22"/>
      <c r="BL85" s="22">
        <v>96</v>
      </c>
    </row>
    <row r="86" spans="1:64" ht="15" customHeight="1">
      <c r="A86" s="43" t="s">
        <v>147</v>
      </c>
      <c r="B86" s="39" t="s">
        <v>221</v>
      </c>
      <c r="C86" s="39" t="s">
        <v>175</v>
      </c>
      <c r="D86" s="48" t="s">
        <v>271</v>
      </c>
      <c r="E86" s="48"/>
      <c r="F86" s="39" t="s">
        <v>309</v>
      </c>
      <c r="G86" s="22">
        <v>8.8</v>
      </c>
      <c r="H86" s="22">
        <v>0</v>
      </c>
      <c r="I86" s="22">
        <f>G86*AO86</f>
        <v>0</v>
      </c>
      <c r="J86" s="22">
        <f>G86*AP86</f>
        <v>0</v>
      </c>
      <c r="K86" s="22">
        <f>G86*H86</f>
        <v>0</v>
      </c>
      <c r="L86" s="22">
        <v>0.064</v>
      </c>
      <c r="M86" s="22">
        <f>G86*L86</f>
        <v>0.5632</v>
      </c>
      <c r="N86" s="35" t="s">
        <v>353</v>
      </c>
      <c r="Z86" s="22">
        <f>IF(AQ86="5",BJ86,0)</f>
        <v>0</v>
      </c>
      <c r="AB86" s="22">
        <f>IF(AQ86="1",BH86,0)</f>
        <v>0</v>
      </c>
      <c r="AC86" s="22">
        <f>IF(AQ86="1",BI86,0)</f>
        <v>0</v>
      </c>
      <c r="AD86" s="22">
        <f>IF(AQ86="7",BH86,0)</f>
        <v>0</v>
      </c>
      <c r="AE86" s="22">
        <f>IF(AQ86="7",BI86,0)</f>
        <v>0</v>
      </c>
      <c r="AF86" s="22">
        <f>IF(AQ86="2",BH86,0)</f>
        <v>0</v>
      </c>
      <c r="AG86" s="22">
        <f>IF(AQ86="2",BI86,0)</f>
        <v>0</v>
      </c>
      <c r="AH86" s="22">
        <f>IF(AQ86="0",BJ86,0)</f>
        <v>0</v>
      </c>
      <c r="AI86" s="18" t="s">
        <v>221</v>
      </c>
      <c r="AJ86" s="22">
        <f>IF(AN86=0,K86,0)</f>
        <v>0</v>
      </c>
      <c r="AK86" s="22">
        <f>IF(AN86=15,K86,0)</f>
        <v>0</v>
      </c>
      <c r="AL86" s="22">
        <f>IF(AN86=21,K86,0)</f>
        <v>0</v>
      </c>
      <c r="AN86" s="22">
        <v>21</v>
      </c>
      <c r="AO86" s="22">
        <f>H86*0.0879097744360902</f>
        <v>0</v>
      </c>
      <c r="AP86" s="22">
        <f>H86*(1-0.0879097744360902)</f>
        <v>0</v>
      </c>
      <c r="AQ86" s="13" t="s">
        <v>313</v>
      </c>
      <c r="AV86" s="22">
        <f>AW86+AX86</f>
        <v>0</v>
      </c>
      <c r="AW86" s="22">
        <f>G86*AO86</f>
        <v>0</v>
      </c>
      <c r="AX86" s="22">
        <f>G86*AP86</f>
        <v>0</v>
      </c>
      <c r="AY86" s="13" t="s">
        <v>279</v>
      </c>
      <c r="AZ86" s="13" t="s">
        <v>106</v>
      </c>
      <c r="BA86" s="18" t="s">
        <v>241</v>
      </c>
      <c r="BC86" s="22">
        <f>AW86+AX86</f>
        <v>0</v>
      </c>
      <c r="BD86" s="22">
        <f>H86/(100-BE86)*100</f>
        <v>0</v>
      </c>
      <c r="BE86" s="22">
        <v>0</v>
      </c>
      <c r="BF86" s="22">
        <f>M86</f>
        <v>0.5632</v>
      </c>
      <c r="BH86" s="22">
        <f>G86*AO86</f>
        <v>0</v>
      </c>
      <c r="BI86" s="22">
        <f>G86*AP86</f>
        <v>0</v>
      </c>
      <c r="BJ86" s="22">
        <f>G86*H86</f>
        <v>0</v>
      </c>
      <c r="BK86" s="22"/>
      <c r="BL86" s="22">
        <v>96</v>
      </c>
    </row>
    <row r="87" spans="1:64" ht="15" customHeight="1">
      <c r="A87" s="43" t="s">
        <v>34</v>
      </c>
      <c r="B87" s="39" t="s">
        <v>221</v>
      </c>
      <c r="C87" s="39" t="s">
        <v>239</v>
      </c>
      <c r="D87" s="48" t="s">
        <v>302</v>
      </c>
      <c r="E87" s="48"/>
      <c r="F87" s="39" t="s">
        <v>68</v>
      </c>
      <c r="G87" s="22">
        <v>8</v>
      </c>
      <c r="H87" s="22">
        <v>0</v>
      </c>
      <c r="I87" s="22">
        <f>G87*AO87</f>
        <v>0</v>
      </c>
      <c r="J87" s="22">
        <f>G87*AP87</f>
        <v>0</v>
      </c>
      <c r="K87" s="22">
        <f>G87*H87</f>
        <v>0</v>
      </c>
      <c r="L87" s="22">
        <v>0</v>
      </c>
      <c r="M87" s="22">
        <f>G87*L87</f>
        <v>0</v>
      </c>
      <c r="N87" s="35" t="s">
        <v>353</v>
      </c>
      <c r="Z87" s="22">
        <f>IF(AQ87="5",BJ87,0)</f>
        <v>0</v>
      </c>
      <c r="AB87" s="22">
        <f>IF(AQ87="1",BH87,0)</f>
        <v>0</v>
      </c>
      <c r="AC87" s="22">
        <f>IF(AQ87="1",BI87,0)</f>
        <v>0</v>
      </c>
      <c r="AD87" s="22">
        <f>IF(AQ87="7",BH87,0)</f>
        <v>0</v>
      </c>
      <c r="AE87" s="22">
        <f>IF(AQ87="7",BI87,0)</f>
        <v>0</v>
      </c>
      <c r="AF87" s="22">
        <f>IF(AQ87="2",BH87,0)</f>
        <v>0</v>
      </c>
      <c r="AG87" s="22">
        <f>IF(AQ87="2",BI87,0)</f>
        <v>0</v>
      </c>
      <c r="AH87" s="22">
        <f>IF(AQ87="0",BJ87,0)</f>
        <v>0</v>
      </c>
      <c r="AI87" s="18" t="s">
        <v>221</v>
      </c>
      <c r="AJ87" s="22">
        <f>IF(AN87=0,K87,0)</f>
        <v>0</v>
      </c>
      <c r="AK87" s="22">
        <f>IF(AN87=15,K87,0)</f>
        <v>0</v>
      </c>
      <c r="AL87" s="22">
        <f>IF(AN87=21,K87,0)</f>
        <v>0</v>
      </c>
      <c r="AN87" s="22">
        <v>21</v>
      </c>
      <c r="AO87" s="22">
        <f>H87*0</f>
        <v>0</v>
      </c>
      <c r="AP87" s="22">
        <f>H87*(1-0)</f>
        <v>0</v>
      </c>
      <c r="AQ87" s="13" t="s">
        <v>313</v>
      </c>
      <c r="AV87" s="22">
        <f>AW87+AX87</f>
        <v>0</v>
      </c>
      <c r="AW87" s="22">
        <f>G87*AO87</f>
        <v>0</v>
      </c>
      <c r="AX87" s="22">
        <f>G87*AP87</f>
        <v>0</v>
      </c>
      <c r="AY87" s="13" t="s">
        <v>279</v>
      </c>
      <c r="AZ87" s="13" t="s">
        <v>106</v>
      </c>
      <c r="BA87" s="18" t="s">
        <v>241</v>
      </c>
      <c r="BC87" s="22">
        <f>AW87+AX87</f>
        <v>0</v>
      </c>
      <c r="BD87" s="22">
        <f>H87/(100-BE87)*100</f>
        <v>0</v>
      </c>
      <c r="BE87" s="22">
        <v>0</v>
      </c>
      <c r="BF87" s="22">
        <f>M87</f>
        <v>0</v>
      </c>
      <c r="BH87" s="22">
        <f>G87*AO87</f>
        <v>0</v>
      </c>
      <c r="BI87" s="22">
        <f>G87*AP87</f>
        <v>0</v>
      </c>
      <c r="BJ87" s="22">
        <f>G87*H87</f>
        <v>0</v>
      </c>
      <c r="BK87" s="22"/>
      <c r="BL87" s="22">
        <v>96</v>
      </c>
    </row>
    <row r="88" spans="1:64" ht="15" customHeight="1">
      <c r="A88" s="43" t="s">
        <v>232</v>
      </c>
      <c r="B88" s="39" t="s">
        <v>221</v>
      </c>
      <c r="C88" s="39" t="s">
        <v>222</v>
      </c>
      <c r="D88" s="48" t="s">
        <v>269</v>
      </c>
      <c r="E88" s="48"/>
      <c r="F88" s="39" t="s">
        <v>68</v>
      </c>
      <c r="G88" s="22">
        <v>10</v>
      </c>
      <c r="H88" s="22">
        <v>0</v>
      </c>
      <c r="I88" s="22">
        <f>G88*AO88</f>
        <v>0</v>
      </c>
      <c r="J88" s="22">
        <f>G88*AP88</f>
        <v>0</v>
      </c>
      <c r="K88" s="22">
        <f>G88*H88</f>
        <v>0</v>
      </c>
      <c r="L88" s="22">
        <v>0</v>
      </c>
      <c r="M88" s="22">
        <f>G88*L88</f>
        <v>0</v>
      </c>
      <c r="N88" s="35" t="s">
        <v>353</v>
      </c>
      <c r="Z88" s="22">
        <f>IF(AQ88="5",BJ88,0)</f>
        <v>0</v>
      </c>
      <c r="AB88" s="22">
        <f>IF(AQ88="1",BH88,0)</f>
        <v>0</v>
      </c>
      <c r="AC88" s="22">
        <f>IF(AQ88="1",BI88,0)</f>
        <v>0</v>
      </c>
      <c r="AD88" s="22">
        <f>IF(AQ88="7",BH88,0)</f>
        <v>0</v>
      </c>
      <c r="AE88" s="22">
        <f>IF(AQ88="7",BI88,0)</f>
        <v>0</v>
      </c>
      <c r="AF88" s="22">
        <f>IF(AQ88="2",BH88,0)</f>
        <v>0</v>
      </c>
      <c r="AG88" s="22">
        <f>IF(AQ88="2",BI88,0)</f>
        <v>0</v>
      </c>
      <c r="AH88" s="22">
        <f>IF(AQ88="0",BJ88,0)</f>
        <v>0</v>
      </c>
      <c r="AI88" s="18" t="s">
        <v>221</v>
      </c>
      <c r="AJ88" s="22">
        <f>IF(AN88=0,K88,0)</f>
        <v>0</v>
      </c>
      <c r="AK88" s="22">
        <f>IF(AN88=15,K88,0)</f>
        <v>0</v>
      </c>
      <c r="AL88" s="22">
        <f>IF(AN88=21,K88,0)</f>
        <v>0</v>
      </c>
      <c r="AN88" s="22">
        <v>21</v>
      </c>
      <c r="AO88" s="22">
        <f>H88*0</f>
        <v>0</v>
      </c>
      <c r="AP88" s="22">
        <f>H88*(1-0)</f>
        <v>0</v>
      </c>
      <c r="AQ88" s="13" t="s">
        <v>313</v>
      </c>
      <c r="AV88" s="22">
        <f>AW88+AX88</f>
        <v>0</v>
      </c>
      <c r="AW88" s="22">
        <f>G88*AO88</f>
        <v>0</v>
      </c>
      <c r="AX88" s="22">
        <f>G88*AP88</f>
        <v>0</v>
      </c>
      <c r="AY88" s="13" t="s">
        <v>279</v>
      </c>
      <c r="AZ88" s="13" t="s">
        <v>106</v>
      </c>
      <c r="BA88" s="18" t="s">
        <v>241</v>
      </c>
      <c r="BC88" s="22">
        <f>AW88+AX88</f>
        <v>0</v>
      </c>
      <c r="BD88" s="22">
        <f>H88/(100-BE88)*100</f>
        <v>0</v>
      </c>
      <c r="BE88" s="22">
        <v>0</v>
      </c>
      <c r="BF88" s="22">
        <f>M88</f>
        <v>0</v>
      </c>
      <c r="BH88" s="22">
        <f>G88*AO88</f>
        <v>0</v>
      </c>
      <c r="BI88" s="22">
        <f>G88*AP88</f>
        <v>0</v>
      </c>
      <c r="BJ88" s="22">
        <f>G88*H88</f>
        <v>0</v>
      </c>
      <c r="BK88" s="22"/>
      <c r="BL88" s="22">
        <v>96</v>
      </c>
    </row>
    <row r="89" spans="1:47" ht="15" customHeight="1">
      <c r="A89" s="33" t="s">
        <v>221</v>
      </c>
      <c r="B89" s="41" t="s">
        <v>221</v>
      </c>
      <c r="C89" s="41" t="s">
        <v>207</v>
      </c>
      <c r="D89" s="65" t="s">
        <v>187</v>
      </c>
      <c r="E89" s="65"/>
      <c r="F89" s="28" t="s">
        <v>294</v>
      </c>
      <c r="G89" s="28" t="s">
        <v>294</v>
      </c>
      <c r="H89" s="28" t="s">
        <v>294</v>
      </c>
      <c r="I89" s="26">
        <f>SUM(I90:I90)</f>
        <v>0</v>
      </c>
      <c r="J89" s="26">
        <f>SUM(J90:J90)</f>
        <v>0</v>
      </c>
      <c r="K89" s="26">
        <f>SUM(K90:K90)</f>
        <v>0</v>
      </c>
      <c r="L89" s="18" t="s">
        <v>221</v>
      </c>
      <c r="M89" s="26">
        <f>SUM(M90:M90)</f>
        <v>0</v>
      </c>
      <c r="N89" s="34" t="s">
        <v>221</v>
      </c>
      <c r="AI89" s="18" t="s">
        <v>221</v>
      </c>
      <c r="AS89" s="26">
        <f>SUM(AJ90:AJ90)</f>
        <v>0</v>
      </c>
      <c r="AT89" s="26">
        <f>SUM(AK90:AK90)</f>
        <v>0</v>
      </c>
      <c r="AU89" s="26">
        <f>SUM(AL90:AL90)</f>
        <v>0</v>
      </c>
    </row>
    <row r="90" spans="1:64" ht="15" customHeight="1">
      <c r="A90" s="43" t="s">
        <v>347</v>
      </c>
      <c r="B90" s="39" t="s">
        <v>221</v>
      </c>
      <c r="C90" s="39" t="s">
        <v>240</v>
      </c>
      <c r="D90" s="48" t="s">
        <v>194</v>
      </c>
      <c r="E90" s="48"/>
      <c r="F90" s="39" t="s">
        <v>148</v>
      </c>
      <c r="G90" s="22">
        <v>13.6175</v>
      </c>
      <c r="H90" s="22">
        <v>0</v>
      </c>
      <c r="I90" s="22">
        <f>G90*AO90</f>
        <v>0</v>
      </c>
      <c r="J90" s="22">
        <f>G90*AP90</f>
        <v>0</v>
      </c>
      <c r="K90" s="22">
        <f>G90*H90</f>
        <v>0</v>
      </c>
      <c r="L90" s="22">
        <v>0</v>
      </c>
      <c r="M90" s="22">
        <f>G90*L90</f>
        <v>0</v>
      </c>
      <c r="N90" s="35" t="s">
        <v>353</v>
      </c>
      <c r="Z90" s="22">
        <f>IF(AQ90="5",BJ90,0)</f>
        <v>0</v>
      </c>
      <c r="AB90" s="22">
        <f>IF(AQ90="1",BH90,0)</f>
        <v>0</v>
      </c>
      <c r="AC90" s="22">
        <f>IF(AQ90="1",BI90,0)</f>
        <v>0</v>
      </c>
      <c r="AD90" s="22">
        <f>IF(AQ90="7",BH90,0)</f>
        <v>0</v>
      </c>
      <c r="AE90" s="22">
        <f>IF(AQ90="7",BI90,0)</f>
        <v>0</v>
      </c>
      <c r="AF90" s="22">
        <f>IF(AQ90="2",BH90,0)</f>
        <v>0</v>
      </c>
      <c r="AG90" s="22">
        <f>IF(AQ90="2",BI90,0)</f>
        <v>0</v>
      </c>
      <c r="AH90" s="22">
        <f>IF(AQ90="0",BJ90,0)</f>
        <v>0</v>
      </c>
      <c r="AI90" s="18" t="s">
        <v>221</v>
      </c>
      <c r="AJ90" s="22">
        <f>IF(AN90=0,K90,0)</f>
        <v>0</v>
      </c>
      <c r="AK90" s="22">
        <f>IF(AN90=15,K90,0)</f>
        <v>0</v>
      </c>
      <c r="AL90" s="22">
        <f>IF(AN90=21,K90,0)</f>
        <v>0</v>
      </c>
      <c r="AN90" s="22">
        <v>21</v>
      </c>
      <c r="AO90" s="22">
        <f>H90*0</f>
        <v>0</v>
      </c>
      <c r="AP90" s="22">
        <f>H90*(1-0)</f>
        <v>0</v>
      </c>
      <c r="AQ90" s="13" t="s">
        <v>164</v>
      </c>
      <c r="AV90" s="22">
        <f>AW90+AX90</f>
        <v>0</v>
      </c>
      <c r="AW90" s="22">
        <f>G90*AO90</f>
        <v>0</v>
      </c>
      <c r="AX90" s="22">
        <f>G90*AP90</f>
        <v>0</v>
      </c>
      <c r="AY90" s="13" t="s">
        <v>323</v>
      </c>
      <c r="AZ90" s="13" t="s">
        <v>106</v>
      </c>
      <c r="BA90" s="18" t="s">
        <v>241</v>
      </c>
      <c r="BC90" s="22">
        <f>AW90+AX90</f>
        <v>0</v>
      </c>
      <c r="BD90" s="22">
        <f>H90/(100-BE90)*100</f>
        <v>0</v>
      </c>
      <c r="BE90" s="22">
        <v>0</v>
      </c>
      <c r="BF90" s="22">
        <f>M90</f>
        <v>0</v>
      </c>
      <c r="BH90" s="22">
        <f>G90*AO90</f>
        <v>0</v>
      </c>
      <c r="BI90" s="22">
        <f>G90*AP90</f>
        <v>0</v>
      </c>
      <c r="BJ90" s="22">
        <f>G90*H90</f>
        <v>0</v>
      </c>
      <c r="BK90" s="22"/>
      <c r="BL90" s="22"/>
    </row>
    <row r="91" spans="1:47" ht="15" customHeight="1">
      <c r="A91" s="33" t="s">
        <v>221</v>
      </c>
      <c r="B91" s="41" t="s">
        <v>221</v>
      </c>
      <c r="C91" s="41" t="s">
        <v>95</v>
      </c>
      <c r="D91" s="65" t="s">
        <v>131</v>
      </c>
      <c r="E91" s="65"/>
      <c r="F91" s="28" t="s">
        <v>294</v>
      </c>
      <c r="G91" s="28" t="s">
        <v>294</v>
      </c>
      <c r="H91" s="28" t="s">
        <v>294</v>
      </c>
      <c r="I91" s="26">
        <f>SUM(I92:I94)</f>
        <v>0</v>
      </c>
      <c r="J91" s="26">
        <f>SUM(J92:J94)</f>
        <v>0</v>
      </c>
      <c r="K91" s="26">
        <f>SUM(K92:K94)</f>
        <v>0</v>
      </c>
      <c r="L91" s="18" t="s">
        <v>221</v>
      </c>
      <c r="M91" s="26">
        <f>SUM(M92:M94)</f>
        <v>0</v>
      </c>
      <c r="N91" s="34" t="s">
        <v>221</v>
      </c>
      <c r="AI91" s="18" t="s">
        <v>221</v>
      </c>
      <c r="AS91" s="26">
        <f>SUM(AJ92:AJ94)</f>
        <v>0</v>
      </c>
      <c r="AT91" s="26">
        <f>SUM(AK92:AK94)</f>
        <v>0</v>
      </c>
      <c r="AU91" s="26">
        <f>SUM(AL92:AL94)</f>
        <v>0</v>
      </c>
    </row>
    <row r="92" spans="1:64" ht="15" customHeight="1">
      <c r="A92" s="43" t="s">
        <v>61</v>
      </c>
      <c r="B92" s="39" t="s">
        <v>221</v>
      </c>
      <c r="C92" s="39" t="s">
        <v>228</v>
      </c>
      <c r="D92" s="48" t="s">
        <v>295</v>
      </c>
      <c r="E92" s="48"/>
      <c r="F92" s="39" t="s">
        <v>148</v>
      </c>
      <c r="G92" s="22">
        <v>5.32</v>
      </c>
      <c r="H92" s="22">
        <v>0</v>
      </c>
      <c r="I92" s="22">
        <f>G92*AO92</f>
        <v>0</v>
      </c>
      <c r="J92" s="22">
        <f>G92*AP92</f>
        <v>0</v>
      </c>
      <c r="K92" s="22">
        <f>G92*H92</f>
        <v>0</v>
      </c>
      <c r="L92" s="22">
        <v>0</v>
      </c>
      <c r="M92" s="22">
        <f>G92*L92</f>
        <v>0</v>
      </c>
      <c r="N92" s="35" t="s">
        <v>353</v>
      </c>
      <c r="Z92" s="22">
        <f>IF(AQ92="5",BJ92,0)</f>
        <v>0</v>
      </c>
      <c r="AB92" s="22">
        <f>IF(AQ92="1",BH92,0)</f>
        <v>0</v>
      </c>
      <c r="AC92" s="22">
        <f>IF(AQ92="1",BI92,0)</f>
        <v>0</v>
      </c>
      <c r="AD92" s="22">
        <f>IF(AQ92="7",BH92,0)</f>
        <v>0</v>
      </c>
      <c r="AE92" s="22">
        <f>IF(AQ92="7",BI92,0)</f>
        <v>0</v>
      </c>
      <c r="AF92" s="22">
        <f>IF(AQ92="2",BH92,0)</f>
        <v>0</v>
      </c>
      <c r="AG92" s="22">
        <f>IF(AQ92="2",BI92,0)</f>
        <v>0</v>
      </c>
      <c r="AH92" s="22">
        <f>IF(AQ92="0",BJ92,0)</f>
        <v>0</v>
      </c>
      <c r="AI92" s="18" t="s">
        <v>221</v>
      </c>
      <c r="AJ92" s="22">
        <f>IF(AN92=0,K92,0)</f>
        <v>0</v>
      </c>
      <c r="AK92" s="22">
        <f>IF(AN92=15,K92,0)</f>
        <v>0</v>
      </c>
      <c r="AL92" s="22">
        <f>IF(AN92=21,K92,0)</f>
        <v>0</v>
      </c>
      <c r="AN92" s="22">
        <v>21</v>
      </c>
      <c r="AO92" s="22">
        <f>H92*0</f>
        <v>0</v>
      </c>
      <c r="AP92" s="22">
        <f>H92*(1-0)</f>
        <v>0</v>
      </c>
      <c r="AQ92" s="13" t="s">
        <v>164</v>
      </c>
      <c r="AV92" s="22">
        <f>AW92+AX92</f>
        <v>0</v>
      </c>
      <c r="AW92" s="22">
        <f>G92*AO92</f>
        <v>0</v>
      </c>
      <c r="AX92" s="22">
        <f>G92*AP92</f>
        <v>0</v>
      </c>
      <c r="AY92" s="13" t="s">
        <v>123</v>
      </c>
      <c r="AZ92" s="13" t="s">
        <v>106</v>
      </c>
      <c r="BA92" s="18" t="s">
        <v>241</v>
      </c>
      <c r="BC92" s="22">
        <f>AW92+AX92</f>
        <v>0</v>
      </c>
      <c r="BD92" s="22">
        <f>H92/(100-BE92)*100</f>
        <v>0</v>
      </c>
      <c r="BE92" s="22">
        <v>0</v>
      </c>
      <c r="BF92" s="22">
        <f>M92</f>
        <v>0</v>
      </c>
      <c r="BH92" s="22">
        <f>G92*AO92</f>
        <v>0</v>
      </c>
      <c r="BI92" s="22">
        <f>G92*AP92</f>
        <v>0</v>
      </c>
      <c r="BJ92" s="22">
        <f>G92*H92</f>
        <v>0</v>
      </c>
      <c r="BK92" s="22"/>
      <c r="BL92" s="22"/>
    </row>
    <row r="93" spans="1:64" ht="15" customHeight="1">
      <c r="A93" s="43" t="s">
        <v>156</v>
      </c>
      <c r="B93" s="39" t="s">
        <v>221</v>
      </c>
      <c r="C93" s="39" t="s">
        <v>105</v>
      </c>
      <c r="D93" s="48" t="s">
        <v>136</v>
      </c>
      <c r="E93" s="48"/>
      <c r="F93" s="39" t="s">
        <v>148</v>
      </c>
      <c r="G93" s="22">
        <v>21.28</v>
      </c>
      <c r="H93" s="22">
        <v>0</v>
      </c>
      <c r="I93" s="22">
        <f>G93*AO93</f>
        <v>0</v>
      </c>
      <c r="J93" s="22">
        <f>G93*AP93</f>
        <v>0</v>
      </c>
      <c r="K93" s="22">
        <f>G93*H93</f>
        <v>0</v>
      </c>
      <c r="L93" s="22">
        <v>0</v>
      </c>
      <c r="M93" s="22">
        <f>G93*L93</f>
        <v>0</v>
      </c>
      <c r="N93" s="35" t="s">
        <v>353</v>
      </c>
      <c r="Z93" s="22">
        <f>IF(AQ93="5",BJ93,0)</f>
        <v>0</v>
      </c>
      <c r="AB93" s="22">
        <f>IF(AQ93="1",BH93,0)</f>
        <v>0</v>
      </c>
      <c r="AC93" s="22">
        <f>IF(AQ93="1",BI93,0)</f>
        <v>0</v>
      </c>
      <c r="AD93" s="22">
        <f>IF(AQ93="7",BH93,0)</f>
        <v>0</v>
      </c>
      <c r="AE93" s="22">
        <f>IF(AQ93="7",BI93,0)</f>
        <v>0</v>
      </c>
      <c r="AF93" s="22">
        <f>IF(AQ93="2",BH93,0)</f>
        <v>0</v>
      </c>
      <c r="AG93" s="22">
        <f>IF(AQ93="2",BI93,0)</f>
        <v>0</v>
      </c>
      <c r="AH93" s="22">
        <f>IF(AQ93="0",BJ93,0)</f>
        <v>0</v>
      </c>
      <c r="AI93" s="18" t="s">
        <v>221</v>
      </c>
      <c r="AJ93" s="22">
        <f>IF(AN93=0,K93,0)</f>
        <v>0</v>
      </c>
      <c r="AK93" s="22">
        <f>IF(AN93=15,K93,0)</f>
        <v>0</v>
      </c>
      <c r="AL93" s="22">
        <f>IF(AN93=21,K93,0)</f>
        <v>0</v>
      </c>
      <c r="AN93" s="22">
        <v>21</v>
      </c>
      <c r="AO93" s="22">
        <f>H93*0</f>
        <v>0</v>
      </c>
      <c r="AP93" s="22">
        <f>H93*(1-0)</f>
        <v>0</v>
      </c>
      <c r="AQ93" s="13" t="s">
        <v>164</v>
      </c>
      <c r="AV93" s="22">
        <f>AW93+AX93</f>
        <v>0</v>
      </c>
      <c r="AW93" s="22">
        <f>G93*AO93</f>
        <v>0</v>
      </c>
      <c r="AX93" s="22">
        <f>G93*AP93</f>
        <v>0</v>
      </c>
      <c r="AY93" s="13" t="s">
        <v>123</v>
      </c>
      <c r="AZ93" s="13" t="s">
        <v>106</v>
      </c>
      <c r="BA93" s="18" t="s">
        <v>241</v>
      </c>
      <c r="BC93" s="22">
        <f>AW93+AX93</f>
        <v>0</v>
      </c>
      <c r="BD93" s="22">
        <f>H93/(100-BE93)*100</f>
        <v>0</v>
      </c>
      <c r="BE93" s="22">
        <v>0</v>
      </c>
      <c r="BF93" s="22">
        <f>M93</f>
        <v>0</v>
      </c>
      <c r="BH93" s="22">
        <f>G93*AO93</f>
        <v>0</v>
      </c>
      <c r="BI93" s="22">
        <f>G93*AP93</f>
        <v>0</v>
      </c>
      <c r="BJ93" s="22">
        <f>G93*H93</f>
        <v>0</v>
      </c>
      <c r="BK93" s="22"/>
      <c r="BL93" s="22"/>
    </row>
    <row r="94" spans="1:64" ht="15" customHeight="1" thickBot="1">
      <c r="A94" s="36" t="s">
        <v>345</v>
      </c>
      <c r="B94" s="40" t="s">
        <v>221</v>
      </c>
      <c r="C94" s="40" t="s">
        <v>189</v>
      </c>
      <c r="D94" s="66" t="s">
        <v>157</v>
      </c>
      <c r="E94" s="66"/>
      <c r="F94" s="40" t="s">
        <v>148</v>
      </c>
      <c r="G94" s="37">
        <v>5.32</v>
      </c>
      <c r="H94" s="37">
        <v>0</v>
      </c>
      <c r="I94" s="37">
        <f>G94*AO94</f>
        <v>0</v>
      </c>
      <c r="J94" s="37">
        <f>G94*AP94</f>
        <v>0</v>
      </c>
      <c r="K94" s="37">
        <f>G94*H94</f>
        <v>0</v>
      </c>
      <c r="L94" s="37">
        <v>0</v>
      </c>
      <c r="M94" s="37">
        <f>G94*L94</f>
        <v>0</v>
      </c>
      <c r="N94" s="38" t="s">
        <v>353</v>
      </c>
      <c r="Z94" s="22">
        <f>IF(AQ94="5",BJ94,0)</f>
        <v>0</v>
      </c>
      <c r="AB94" s="22">
        <f>IF(AQ94="1",BH94,0)</f>
        <v>0</v>
      </c>
      <c r="AC94" s="22">
        <f>IF(AQ94="1",BI94,0)</f>
        <v>0</v>
      </c>
      <c r="AD94" s="22">
        <f>IF(AQ94="7",BH94,0)</f>
        <v>0</v>
      </c>
      <c r="AE94" s="22">
        <f>IF(AQ94="7",BI94,0)</f>
        <v>0</v>
      </c>
      <c r="AF94" s="22">
        <f>IF(AQ94="2",BH94,0)</f>
        <v>0</v>
      </c>
      <c r="AG94" s="22">
        <f>IF(AQ94="2",BI94,0)</f>
        <v>0</v>
      </c>
      <c r="AH94" s="22">
        <f>IF(AQ94="0",BJ94,0)</f>
        <v>0</v>
      </c>
      <c r="AI94" s="18" t="s">
        <v>221</v>
      </c>
      <c r="AJ94" s="22">
        <f>IF(AN94=0,K94,0)</f>
        <v>0</v>
      </c>
      <c r="AK94" s="22">
        <f>IF(AN94=15,K94,0)</f>
        <v>0</v>
      </c>
      <c r="AL94" s="22">
        <f>IF(AN94=21,K94,0)</f>
        <v>0</v>
      </c>
      <c r="AN94" s="22">
        <v>21</v>
      </c>
      <c r="AO94" s="22">
        <f>H94*0</f>
        <v>0</v>
      </c>
      <c r="AP94" s="22">
        <f>H94*(1-0)</f>
        <v>0</v>
      </c>
      <c r="AQ94" s="13" t="s">
        <v>164</v>
      </c>
      <c r="AV94" s="22">
        <f>AW94+AX94</f>
        <v>0</v>
      </c>
      <c r="AW94" s="22">
        <f>G94*AO94</f>
        <v>0</v>
      </c>
      <c r="AX94" s="22">
        <f>G94*AP94</f>
        <v>0</v>
      </c>
      <c r="AY94" s="13" t="s">
        <v>123</v>
      </c>
      <c r="AZ94" s="13" t="s">
        <v>106</v>
      </c>
      <c r="BA94" s="18" t="s">
        <v>241</v>
      </c>
      <c r="BC94" s="22">
        <f>AW94+AX94</f>
        <v>0</v>
      </c>
      <c r="BD94" s="22">
        <f>H94/(100-BE94)*100</f>
        <v>0</v>
      </c>
      <c r="BE94" s="22">
        <v>0</v>
      </c>
      <c r="BF94" s="22">
        <f>M94</f>
        <v>0</v>
      </c>
      <c r="BH94" s="22">
        <f>G94*AO94</f>
        <v>0</v>
      </c>
      <c r="BI94" s="22">
        <f>G94*AP94</f>
        <v>0</v>
      </c>
      <c r="BJ94" s="22">
        <f>G94*H94</f>
        <v>0</v>
      </c>
      <c r="BK94" s="22"/>
      <c r="BL94" s="22"/>
    </row>
    <row r="95" spans="9:11" ht="15" customHeight="1">
      <c r="I95" s="59" t="s">
        <v>354</v>
      </c>
      <c r="J95" s="59"/>
      <c r="K95" s="14">
        <f>K12+K16+K23+K27+K29+K32+K36+K46+K49+K55+K63+K69+K77+K80+K82+K84+K89+K91</f>
        <v>0</v>
      </c>
    </row>
  </sheetData>
  <sheetProtection/>
  <mergeCells count="113">
    <mergeCell ref="D93:E93"/>
    <mergeCell ref="D94:E94"/>
    <mergeCell ref="I95:J95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11:E11"/>
    <mergeCell ref="I10:K10"/>
    <mergeCell ref="L10:M10"/>
    <mergeCell ref="D12:E12"/>
    <mergeCell ref="D13:E13"/>
    <mergeCell ref="D14:E14"/>
    <mergeCell ref="J2:N3"/>
    <mergeCell ref="J4:N5"/>
    <mergeCell ref="J6:N7"/>
    <mergeCell ref="J8:N9"/>
    <mergeCell ref="D10:E10"/>
    <mergeCell ref="I4:I5"/>
    <mergeCell ref="I6:I7"/>
    <mergeCell ref="I8:I9"/>
    <mergeCell ref="D2:E3"/>
    <mergeCell ref="D4:E5"/>
    <mergeCell ref="D6:E7"/>
    <mergeCell ref="D8:E9"/>
    <mergeCell ref="H2:H3"/>
    <mergeCell ref="H4:H5"/>
    <mergeCell ref="H6:H7"/>
    <mergeCell ref="H8:H9"/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D34" sqref="D34:F34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67" t="s">
        <v>87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68" t="s">
        <v>16</v>
      </c>
      <c r="B2" s="69"/>
      <c r="C2" s="75" t="str">
        <f>'Stavební rozpočet'!D2</f>
        <v>Nemocnice Most ORL 7. patro II. etapa</v>
      </c>
      <c r="D2" s="76"/>
      <c r="E2" s="74" t="s">
        <v>267</v>
      </c>
      <c r="F2" s="74" t="str">
        <f>'Stavební rozpočet'!J2</f>
        <v> </v>
      </c>
      <c r="G2" s="69"/>
      <c r="H2" s="74" t="s">
        <v>206</v>
      </c>
      <c r="I2" s="77" t="s">
        <v>221</v>
      </c>
    </row>
    <row r="3" spans="1:9" ht="15" customHeight="1">
      <c r="A3" s="70"/>
      <c r="B3" s="48"/>
      <c r="C3" s="59"/>
      <c r="D3" s="59"/>
      <c r="E3" s="48"/>
      <c r="F3" s="48"/>
      <c r="G3" s="48"/>
      <c r="H3" s="48"/>
      <c r="I3" s="78"/>
    </row>
    <row r="4" spans="1:9" ht="15" customHeight="1">
      <c r="A4" s="71" t="s">
        <v>168</v>
      </c>
      <c r="B4" s="48"/>
      <c r="C4" s="51" t="str">
        <f>'Stavební rozpočet'!D4</f>
        <v>Rekonstrukce sociálního zařízení, výměna zárubní</v>
      </c>
      <c r="D4" s="48"/>
      <c r="E4" s="51" t="s">
        <v>219</v>
      </c>
      <c r="F4" s="51" t="str">
        <f>'Stavební rozpočet'!J4</f>
        <v> </v>
      </c>
      <c r="G4" s="48"/>
      <c r="H4" s="51" t="s">
        <v>206</v>
      </c>
      <c r="I4" s="78" t="s">
        <v>221</v>
      </c>
    </row>
    <row r="5" spans="1:9" ht="15" customHeight="1">
      <c r="A5" s="70"/>
      <c r="B5" s="48"/>
      <c r="C5" s="48"/>
      <c r="D5" s="48"/>
      <c r="E5" s="48"/>
      <c r="F5" s="48"/>
      <c r="G5" s="48"/>
      <c r="H5" s="48"/>
      <c r="I5" s="78"/>
    </row>
    <row r="6" spans="1:9" ht="15" customHeight="1">
      <c r="A6" s="71" t="s">
        <v>23</v>
      </c>
      <c r="B6" s="48"/>
      <c r="C6" s="51" t="str">
        <f>'Stavební rozpočet'!D6</f>
        <v>Most</v>
      </c>
      <c r="D6" s="48"/>
      <c r="E6" s="51" t="s">
        <v>276</v>
      </c>
      <c r="F6" s="51" t="str">
        <f>'Stavební rozpočet'!J6</f>
        <v> </v>
      </c>
      <c r="G6" s="48"/>
      <c r="H6" s="51" t="s">
        <v>206</v>
      </c>
      <c r="I6" s="78" t="s">
        <v>221</v>
      </c>
    </row>
    <row r="7" spans="1:9" ht="15" customHeight="1">
      <c r="A7" s="70"/>
      <c r="B7" s="48"/>
      <c r="C7" s="48"/>
      <c r="D7" s="48"/>
      <c r="E7" s="48"/>
      <c r="F7" s="48"/>
      <c r="G7" s="48"/>
      <c r="H7" s="48"/>
      <c r="I7" s="78"/>
    </row>
    <row r="8" spans="1:9" ht="15" customHeight="1">
      <c r="A8" s="71" t="s">
        <v>283</v>
      </c>
      <c r="B8" s="48"/>
      <c r="C8" s="51" t="str">
        <f>'Stavební rozpočet'!H4</f>
        <v> </v>
      </c>
      <c r="D8" s="48"/>
      <c r="E8" s="51" t="s">
        <v>90</v>
      </c>
      <c r="F8" s="51" t="str">
        <f>'Stavební rozpočet'!H6</f>
        <v> </v>
      </c>
      <c r="G8" s="48"/>
      <c r="H8" s="48" t="s">
        <v>318</v>
      </c>
      <c r="I8" s="79">
        <v>65</v>
      </c>
    </row>
    <row r="9" spans="1:9" ht="15" customHeight="1">
      <c r="A9" s="70"/>
      <c r="B9" s="48"/>
      <c r="C9" s="48"/>
      <c r="D9" s="48"/>
      <c r="E9" s="48"/>
      <c r="F9" s="48"/>
      <c r="G9" s="48"/>
      <c r="H9" s="48"/>
      <c r="I9" s="78"/>
    </row>
    <row r="10" spans="1:9" ht="15" customHeight="1">
      <c r="A10" s="71" t="s">
        <v>155</v>
      </c>
      <c r="B10" s="48"/>
      <c r="C10" s="51" t="str">
        <f>'Stavební rozpočet'!D8</f>
        <v> </v>
      </c>
      <c r="D10" s="48"/>
      <c r="E10" s="51" t="s">
        <v>211</v>
      </c>
      <c r="F10" s="51" t="str">
        <f>'Stavební rozpočet'!J8</f>
        <v> </v>
      </c>
      <c r="G10" s="48"/>
      <c r="H10" s="48" t="s">
        <v>305</v>
      </c>
      <c r="I10" s="80">
        <f>'Stavební rozpočet'!H8</f>
        <v>45319</v>
      </c>
    </row>
    <row r="11" spans="1:9" ht="15" customHeight="1">
      <c r="A11" s="72"/>
      <c r="B11" s="73"/>
      <c r="C11" s="73"/>
      <c r="D11" s="73"/>
      <c r="E11" s="73"/>
      <c r="F11" s="73"/>
      <c r="G11" s="73"/>
      <c r="H11" s="73"/>
      <c r="I11" s="81"/>
    </row>
    <row r="12" spans="1:9" ht="22.5" customHeight="1">
      <c r="A12" s="82" t="s">
        <v>45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20" t="s">
        <v>288</v>
      </c>
      <c r="B13" s="83" t="s">
        <v>35</v>
      </c>
      <c r="C13" s="84"/>
      <c r="D13" s="5" t="s">
        <v>47</v>
      </c>
      <c r="E13" s="83" t="s">
        <v>107</v>
      </c>
      <c r="F13" s="84"/>
      <c r="G13" s="5" t="s">
        <v>201</v>
      </c>
      <c r="H13" s="83" t="s">
        <v>48</v>
      </c>
      <c r="I13" s="84"/>
    </row>
    <row r="14" spans="1:9" ht="15" customHeight="1">
      <c r="A14" s="10" t="s">
        <v>110</v>
      </c>
      <c r="B14" s="16" t="s">
        <v>69</v>
      </c>
      <c r="C14" s="17">
        <f>SUM('Stavební rozpočet'!AB12:AB94)</f>
        <v>0</v>
      </c>
      <c r="D14" s="91" t="s">
        <v>230</v>
      </c>
      <c r="E14" s="92"/>
      <c r="F14" s="17">
        <v>0</v>
      </c>
      <c r="G14" s="91" t="s">
        <v>31</v>
      </c>
      <c r="H14" s="92"/>
      <c r="I14" s="17">
        <f>ROUND(C22*(10/100),2)</f>
        <v>0</v>
      </c>
    </row>
    <row r="15" spans="1:9" ht="15" customHeight="1">
      <c r="A15" s="25" t="s">
        <v>221</v>
      </c>
      <c r="B15" s="16" t="s">
        <v>51</v>
      </c>
      <c r="C15" s="17">
        <f>SUM('Stavební rozpočet'!AC12:AC94)</f>
        <v>0</v>
      </c>
      <c r="D15" s="91" t="s">
        <v>29</v>
      </c>
      <c r="E15" s="92"/>
      <c r="F15" s="17">
        <v>0</v>
      </c>
      <c r="G15" s="91" t="s">
        <v>252</v>
      </c>
      <c r="H15" s="92"/>
      <c r="I15" s="17">
        <v>0</v>
      </c>
    </row>
    <row r="16" spans="1:9" ht="15" customHeight="1">
      <c r="A16" s="10" t="s">
        <v>26</v>
      </c>
      <c r="B16" s="16" t="s">
        <v>69</v>
      </c>
      <c r="C16" s="17">
        <f>SUM('Stavební rozpočet'!AD12:AD94)</f>
        <v>0</v>
      </c>
      <c r="D16" s="91" t="s">
        <v>234</v>
      </c>
      <c r="E16" s="92"/>
      <c r="F16" s="17">
        <v>0</v>
      </c>
      <c r="G16" s="91" t="s">
        <v>301</v>
      </c>
      <c r="H16" s="92"/>
      <c r="I16" s="17">
        <v>0</v>
      </c>
    </row>
    <row r="17" spans="1:9" ht="15" customHeight="1">
      <c r="A17" s="25" t="s">
        <v>221</v>
      </c>
      <c r="B17" s="16" t="s">
        <v>51</v>
      </c>
      <c r="C17" s="17">
        <f>SUM('Stavební rozpočet'!AE12:AE94)</f>
        <v>0</v>
      </c>
      <c r="D17" s="91" t="s">
        <v>221</v>
      </c>
      <c r="E17" s="92"/>
      <c r="F17" s="27" t="s">
        <v>221</v>
      </c>
      <c r="G17" s="91" t="s">
        <v>163</v>
      </c>
      <c r="H17" s="92"/>
      <c r="I17" s="17">
        <v>0</v>
      </c>
    </row>
    <row r="18" spans="1:9" ht="15" customHeight="1">
      <c r="A18" s="10" t="s">
        <v>84</v>
      </c>
      <c r="B18" s="16" t="s">
        <v>69</v>
      </c>
      <c r="C18" s="17">
        <f>SUM('Stavební rozpočet'!AF12:AF94)</f>
        <v>0</v>
      </c>
      <c r="D18" s="91" t="s">
        <v>221</v>
      </c>
      <c r="E18" s="92"/>
      <c r="F18" s="27" t="s">
        <v>221</v>
      </c>
      <c r="G18" s="91" t="s">
        <v>208</v>
      </c>
      <c r="H18" s="92"/>
      <c r="I18" s="17">
        <v>0</v>
      </c>
    </row>
    <row r="19" spans="1:9" ht="15" customHeight="1">
      <c r="A19" s="25" t="s">
        <v>221</v>
      </c>
      <c r="B19" s="16" t="s">
        <v>51</v>
      </c>
      <c r="C19" s="17">
        <f>SUM('Stavební rozpočet'!AG12:AG94)</f>
        <v>0</v>
      </c>
      <c r="D19" s="91" t="s">
        <v>221</v>
      </c>
      <c r="E19" s="92"/>
      <c r="F19" s="27" t="s">
        <v>221</v>
      </c>
      <c r="G19" s="91" t="s">
        <v>312</v>
      </c>
      <c r="H19" s="92"/>
      <c r="I19" s="17">
        <v>0</v>
      </c>
    </row>
    <row r="20" spans="1:9" ht="15" customHeight="1">
      <c r="A20" s="85" t="s">
        <v>17</v>
      </c>
      <c r="B20" s="86"/>
      <c r="C20" s="17">
        <f>SUM('Stavební rozpočet'!AH12:AH94)</f>
        <v>0</v>
      </c>
      <c r="D20" s="91" t="s">
        <v>221</v>
      </c>
      <c r="E20" s="92"/>
      <c r="F20" s="27" t="s">
        <v>221</v>
      </c>
      <c r="G20" s="91" t="s">
        <v>221</v>
      </c>
      <c r="H20" s="92"/>
      <c r="I20" s="27" t="s">
        <v>221</v>
      </c>
    </row>
    <row r="21" spans="1:9" ht="15" customHeight="1">
      <c r="A21" s="87" t="s">
        <v>311</v>
      </c>
      <c r="B21" s="88"/>
      <c r="C21" s="21">
        <f>SUM('Stavební rozpočet'!Z12:Z94)</f>
        <v>0</v>
      </c>
      <c r="D21" s="93" t="s">
        <v>221</v>
      </c>
      <c r="E21" s="94"/>
      <c r="F21" s="6" t="s">
        <v>221</v>
      </c>
      <c r="G21" s="93" t="s">
        <v>221</v>
      </c>
      <c r="H21" s="94"/>
      <c r="I21" s="6" t="s">
        <v>221</v>
      </c>
    </row>
    <row r="22" spans="1:9" ht="16.5" customHeight="1">
      <c r="A22" s="89" t="s">
        <v>54</v>
      </c>
      <c r="B22" s="90"/>
      <c r="C22" s="4">
        <f>SUM(C14:C21)</f>
        <v>0</v>
      </c>
      <c r="D22" s="95" t="s">
        <v>161</v>
      </c>
      <c r="E22" s="90"/>
      <c r="F22" s="4">
        <f>SUM(F14:F21)</f>
        <v>0</v>
      </c>
      <c r="G22" s="95" t="s">
        <v>320</v>
      </c>
      <c r="H22" s="90"/>
      <c r="I22" s="4">
        <f>SUM(I14:I21)</f>
        <v>0</v>
      </c>
    </row>
    <row r="23" spans="4:9" ht="15" customHeight="1">
      <c r="D23" s="85" t="s">
        <v>255</v>
      </c>
      <c r="E23" s="86"/>
      <c r="F23" s="8">
        <v>0</v>
      </c>
      <c r="G23" s="96" t="s">
        <v>9</v>
      </c>
      <c r="H23" s="86"/>
      <c r="I23" s="17">
        <v>0</v>
      </c>
    </row>
    <row r="24" spans="7:9" ht="15" customHeight="1">
      <c r="G24" s="85" t="s">
        <v>220</v>
      </c>
      <c r="H24" s="86"/>
      <c r="I24" s="17">
        <v>0</v>
      </c>
    </row>
    <row r="25" spans="7:9" ht="15" customHeight="1">
      <c r="G25" s="85" t="s">
        <v>242</v>
      </c>
      <c r="H25" s="86"/>
      <c r="I25" s="17">
        <v>0</v>
      </c>
    </row>
    <row r="27" spans="1:3" ht="15" customHeight="1">
      <c r="A27" s="97" t="s">
        <v>122</v>
      </c>
      <c r="B27" s="98"/>
      <c r="C27" s="24">
        <f>SUM('Stavební rozpočet'!AJ12:AJ94)</f>
        <v>0</v>
      </c>
    </row>
    <row r="28" spans="1:9" ht="15" customHeight="1">
      <c r="A28" s="99" t="s">
        <v>355</v>
      </c>
      <c r="B28" s="100"/>
      <c r="C28" s="7">
        <f>SUM('Stavební rozpočet'!AK12:AK94)</f>
        <v>0</v>
      </c>
      <c r="D28" s="98" t="s">
        <v>356</v>
      </c>
      <c r="E28" s="98"/>
      <c r="F28" s="24">
        <f>ROUND(C28*(15/100),2)</f>
        <v>0</v>
      </c>
      <c r="G28" s="98" t="s">
        <v>40</v>
      </c>
      <c r="H28" s="98"/>
      <c r="I28" s="24">
        <f>SUM(C27:C29)</f>
        <v>0</v>
      </c>
    </row>
    <row r="29" spans="1:9" ht="15" customHeight="1">
      <c r="A29" s="99" t="s">
        <v>6</v>
      </c>
      <c r="B29" s="100"/>
      <c r="C29" s="7">
        <f>SUM('Stavební rozpočet'!AL12:AL94)+(F22+I22+F23+I23+I24+I25)</f>
        <v>0</v>
      </c>
      <c r="D29" s="100" t="s">
        <v>238</v>
      </c>
      <c r="E29" s="100"/>
      <c r="F29" s="7">
        <f>ROUND(C29*(21/100),2)</f>
        <v>0</v>
      </c>
      <c r="G29" s="100" t="s">
        <v>121</v>
      </c>
      <c r="H29" s="100"/>
      <c r="I29" s="7">
        <f>SUM(F28:F29)+I28</f>
        <v>0</v>
      </c>
    </row>
    <row r="31" spans="1:9" ht="15" customHeight="1">
      <c r="A31" s="107" t="s">
        <v>2</v>
      </c>
      <c r="B31" s="104"/>
      <c r="C31" s="105"/>
      <c r="D31" s="104" t="s">
        <v>296</v>
      </c>
      <c r="E31" s="104"/>
      <c r="F31" s="105"/>
      <c r="G31" s="104" t="s">
        <v>216</v>
      </c>
      <c r="H31" s="104"/>
      <c r="I31" s="105"/>
    </row>
    <row r="32" spans="1:9" ht="15" customHeight="1">
      <c r="A32" s="108" t="s">
        <v>221</v>
      </c>
      <c r="B32" s="93"/>
      <c r="C32" s="106"/>
      <c r="D32" s="93" t="s">
        <v>221</v>
      </c>
      <c r="E32" s="93"/>
      <c r="F32" s="106"/>
      <c r="G32" s="93" t="s">
        <v>221</v>
      </c>
      <c r="H32" s="93"/>
      <c r="I32" s="106"/>
    </row>
    <row r="33" spans="1:9" ht="15" customHeight="1">
      <c r="A33" s="108" t="s">
        <v>221</v>
      </c>
      <c r="B33" s="93"/>
      <c r="C33" s="106"/>
      <c r="D33" s="93" t="s">
        <v>221</v>
      </c>
      <c r="E33" s="93"/>
      <c r="F33" s="106"/>
      <c r="G33" s="93" t="s">
        <v>221</v>
      </c>
      <c r="H33" s="93"/>
      <c r="I33" s="106"/>
    </row>
    <row r="34" spans="1:9" ht="15" customHeight="1">
      <c r="A34" s="108" t="s">
        <v>221</v>
      </c>
      <c r="B34" s="93"/>
      <c r="C34" s="106"/>
      <c r="D34" s="93" t="s">
        <v>221</v>
      </c>
      <c r="E34" s="93"/>
      <c r="F34" s="106"/>
      <c r="G34" s="93" t="s">
        <v>221</v>
      </c>
      <c r="H34" s="93"/>
      <c r="I34" s="106"/>
    </row>
    <row r="35" spans="1:9" ht="15" customHeight="1">
      <c r="A35" s="101" t="s">
        <v>53</v>
      </c>
      <c r="B35" s="102"/>
      <c r="C35" s="103"/>
      <c r="D35" s="102" t="s">
        <v>53</v>
      </c>
      <c r="E35" s="102"/>
      <c r="F35" s="103"/>
      <c r="G35" s="102" t="s">
        <v>53</v>
      </c>
      <c r="H35" s="102"/>
      <c r="I35" s="103"/>
    </row>
    <row r="36" ht="15" customHeight="1">
      <c r="A36" s="12" t="s">
        <v>22</v>
      </c>
    </row>
    <row r="37" spans="1:9" ht="12.75" customHeight="1">
      <c r="A37" s="51" t="s">
        <v>221</v>
      </c>
      <c r="B37" s="48"/>
      <c r="C37" s="48"/>
      <c r="D37" s="48"/>
      <c r="E37" s="48"/>
      <c r="F37" s="48"/>
      <c r="G37" s="48"/>
      <c r="H37" s="48"/>
      <c r="I37" s="48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Caklová Eva</cp:lastModifiedBy>
  <dcterms:created xsi:type="dcterms:W3CDTF">2021-06-10T20:06:38Z</dcterms:created>
  <dcterms:modified xsi:type="dcterms:W3CDTF">2024-02-20T05:17:57Z</dcterms:modified>
  <cp:category/>
  <cp:version/>
  <cp:contentType/>
  <cp:contentStatus/>
</cp:coreProperties>
</file>