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<sst xmlns="http://schemas.openxmlformats.org/spreadsheetml/2006/main" count="762" uniqueCount="321">
  <si>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</si>
  <si>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</si>
  <si>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</si>
  <si>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</si>
  <si>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</si>
  <si>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</si>
  <si>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</si>
  <si>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</si>
  <si>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</si>
  <si>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</si>
  <si>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</si>
  <si>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</si>
  <si>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</si>
  <si>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</si>
  <si>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</si>
  <si>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</si>
  <si>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</si>
  <si>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</si>
  <si>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</si>
  <si>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</si>
  <si>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</si>
  <si>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</si>
  <si>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</si>
  <si>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</si>
  <si>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</si>
  <si>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</si>
  <si>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</si>
  <si>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</si>
  <si>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</si>
  <si>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</si>
  <si>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</si>
  <si>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</si>
  <si>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</si>
  <si>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</si>
  <si>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</si>
  <si>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</si>
  <si>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</si>
  <si>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</si>
  <si>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</si>
  <si>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</si>
  <si>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</si>
  <si>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</si>
  <si>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</si>
  <si>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</si>
  <si>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</si>
  <si>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</si>
  <si>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</si>
  <si>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</si>
  <si>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</si>
  <si>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</si>
  <si>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</si>
  <si>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</si>
  <si>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</si>
  <si>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</si>
  <si>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</si>
  <si>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</si>
  <si>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Výše uvedené ceny neobsahují sazbu DPH.</t>
  </si>
  <si>
    <t>Kód</t>
  </si>
  <si>
    <t>310271430R00</t>
  </si>
  <si>
    <t>62</t>
  </si>
  <si>
    <t>62214244VD</t>
  </si>
  <si>
    <t>622143003</t>
  </si>
  <si>
    <t>62214306VD</t>
  </si>
  <si>
    <t>622472142R00</t>
  </si>
  <si>
    <t>96</t>
  </si>
  <si>
    <t>968062355R00</t>
  </si>
  <si>
    <t>97</t>
  </si>
  <si>
    <t>978015271R00</t>
  </si>
  <si>
    <t>712</t>
  </si>
  <si>
    <t>71201VD</t>
  </si>
  <si>
    <t>71202VD</t>
  </si>
  <si>
    <t>712341559RT1</t>
  </si>
  <si>
    <t>Varianta:</t>
  </si>
  <si>
    <t>7126601VD</t>
  </si>
  <si>
    <t>712841559RT1</t>
  </si>
  <si>
    <t>712851559RT1</t>
  </si>
  <si>
    <t>71226VD</t>
  </si>
  <si>
    <t>712391176R00</t>
  </si>
  <si>
    <t>712457VD</t>
  </si>
  <si>
    <t>713</t>
  </si>
  <si>
    <t>71304VD</t>
  </si>
  <si>
    <t>713021VD</t>
  </si>
  <si>
    <t>71310VD</t>
  </si>
  <si>
    <t>728</t>
  </si>
  <si>
    <t>728314812R00</t>
  </si>
  <si>
    <t>728314112R00</t>
  </si>
  <si>
    <t>74</t>
  </si>
  <si>
    <t>74003VD</t>
  </si>
  <si>
    <t>762</t>
  </si>
  <si>
    <t>76213VD</t>
  </si>
  <si>
    <t>764</t>
  </si>
  <si>
    <t>76400VD</t>
  </si>
  <si>
    <t>76481715VD</t>
  </si>
  <si>
    <t>764122VD</t>
  </si>
  <si>
    <t>7641228VD</t>
  </si>
  <si>
    <t>7648171577VD</t>
  </si>
  <si>
    <t>764108VD</t>
  </si>
  <si>
    <t>764815212R00</t>
  </si>
  <si>
    <t>764819212R00</t>
  </si>
  <si>
    <t>7643869VD</t>
  </si>
  <si>
    <t>766</t>
  </si>
  <si>
    <t>766629301R00</t>
  </si>
  <si>
    <t>767</t>
  </si>
  <si>
    <t>767568VD</t>
  </si>
  <si>
    <t>783</t>
  </si>
  <si>
    <t>783896210R00</t>
  </si>
  <si>
    <t>7835229VD</t>
  </si>
  <si>
    <t>H01</t>
  </si>
  <si>
    <t>99801100VD</t>
  </si>
  <si>
    <t>H712</t>
  </si>
  <si>
    <t>998712102R00</t>
  </si>
  <si>
    <t>H713</t>
  </si>
  <si>
    <t>998713102R00</t>
  </si>
  <si>
    <t>H764</t>
  </si>
  <si>
    <t>998764102R00</t>
  </si>
  <si>
    <t>H800VD</t>
  </si>
  <si>
    <t>80085VD</t>
  </si>
  <si>
    <t>80087295VD</t>
  </si>
  <si>
    <t>80086VD</t>
  </si>
  <si>
    <t>62852257</t>
  </si>
  <si>
    <t>63145722</t>
  </si>
  <si>
    <t>28055VD</t>
  </si>
  <si>
    <t>61143062</t>
  </si>
  <si>
    <t>2808543VD</t>
  </si>
  <si>
    <t>Kochova 1185, Chomutov</t>
  </si>
  <si>
    <t>Zkrácený popis / Varianta</t>
  </si>
  <si>
    <t>Rozměry</t>
  </si>
  <si>
    <t>Zdi podpěrné a volné</t>
  </si>
  <si>
    <t>Zazdívka otvorů do 0,25 m2, pórobet.tvár., tl.30cm</t>
  </si>
  <si>
    <t>Úprava povrchů vnější</t>
  </si>
  <si>
    <t>Potažení vnějších ploch pletivem v ploše, na plném podkladu sklovláknitým vtlačením do tmelu stěn</t>
  </si>
  <si>
    <t>Montáž omítkových plastových nebo pozinkovaných rohových profilů s tkaninou</t>
  </si>
  <si>
    <t>Zednické vyspravení odv. šachet</t>
  </si>
  <si>
    <t>Omítka stěn vnější z MS silikátová slož. II. ručně</t>
  </si>
  <si>
    <t>Bourání konstrukcí</t>
  </si>
  <si>
    <t>Vybourání dřevěných rámů oken dvojitých pl. 2 m2</t>
  </si>
  <si>
    <t>Prorážení otvorů a ostatní bourací práce</t>
  </si>
  <si>
    <t>Otlučení omítek vnějších MVC v složit.1-4 do 65 %</t>
  </si>
  <si>
    <t>Izolace střech (živičné krytiny)</t>
  </si>
  <si>
    <t>Úklid a zametení střechy před prováděnými pracemi</t>
  </si>
  <si>
    <t>Montáž střešní vpustě TOPWET SAN DN 95mm s ochranným košíkem</t>
  </si>
  <si>
    <t>Povlaková krytina střech do 10°, NAIP přitavením - vrchní hydroizolace</t>
  </si>
  <si>
    <t xml:space="preserve">1 vrstva - materiál ve specifikaci 
</t>
  </si>
  <si>
    <t>Pokládka atikového izolačního klínu</t>
  </si>
  <si>
    <t>materiál ve specifikaci</t>
  </si>
  <si>
    <t>Samostatné vytažení izolace, pásy přitavením</t>
  </si>
  <si>
    <t>1 vrstva - asf.pás ve specifikaci</t>
  </si>
  <si>
    <t>Samostatné vytažení izolace, samolepicími pásy</t>
  </si>
  <si>
    <t>Povlaková krytina střech do 10°, za studena - samolepící pás</t>
  </si>
  <si>
    <t>Připevnění izolace kotvicími terči</t>
  </si>
  <si>
    <t>typ kotev bude určen na základě provedených tahových zkoušek na místě</t>
  </si>
  <si>
    <t>Vyspravení stávajícího podkladu z 10% plochy</t>
  </si>
  <si>
    <t>(částečné vyrovnání nerovností, prořezání boulí, atd.)</t>
  </si>
  <si>
    <t>Izolace tepelné</t>
  </si>
  <si>
    <t>Izolace tepelné střech polystyrenovými dílci</t>
  </si>
  <si>
    <t>2 vrstvy v celkové tl. 140mm, kladené na vazbu
materiál ve specifikaci</t>
  </si>
  <si>
    <t>Izolace tepelné střech polystyrenovými dílci - vnitřní strany atikových zdí</t>
  </si>
  <si>
    <t>Polystyren EPS 70 F tl. 50mm</t>
  </si>
  <si>
    <t>Izolace tepelné střech polystyreovými dílci - vrchní hrana atikové zdi</t>
  </si>
  <si>
    <t>spádový klín 40-60mm š. 50cm</t>
  </si>
  <si>
    <t>Vzduchotechnika</t>
  </si>
  <si>
    <t>Demontáž protidešť. žaluzie čtyřhranné do 0,45 m2</t>
  </si>
  <si>
    <t>Montáž protidešť. žaluzie čtyřhranné do 0,3 m2</t>
  </si>
  <si>
    <t>Elektromontážní práce (silnoproud)</t>
  </si>
  <si>
    <t>Demontáž + montáž nové hromosvodové soustavy</t>
  </si>
  <si>
    <t>drát AlMgSi, ostatní Pz, plast, podběry betonplast, včetně revize
napojení na stávající svody</t>
  </si>
  <si>
    <t>Konstrukce tesařské</t>
  </si>
  <si>
    <t>Dodávka a montáž podkladní OSB desky pod oplechování atiky, tl. 22mm š. 600mm</t>
  </si>
  <si>
    <t>Konstrukce klempířské</t>
  </si>
  <si>
    <t>Demontáž původních klempířských konstrukcí</t>
  </si>
  <si>
    <t>Oplechování zdí (atik) z lak.Pz plechu, rš 700 mm</t>
  </si>
  <si>
    <t>Dodávka a montáž krycí lišty Pz lakovaný, rš 100 mm</t>
  </si>
  <si>
    <t>Dodávka a montáž krycí lišty Pz lakovaný, rš 250 mm</t>
  </si>
  <si>
    <t>Montáž opechování parapetu Pz lakovaný rš do 300mm</t>
  </si>
  <si>
    <t>Dodávka a montáž krycí lišty Pz lakovaný, rš 150 mm</t>
  </si>
  <si>
    <t>Žlab podokapní půlkruh.z lak.Pz plechu, rš 280 mm</t>
  </si>
  <si>
    <t>Odpadní trouby kruhové z lak.Pz plechu, D 100 mm</t>
  </si>
  <si>
    <t>Montáž oplechování okapů, živičná krytina, Pz lakovaný, rš 250mm</t>
  </si>
  <si>
    <t>Konstrukce truhlářské</t>
  </si>
  <si>
    <t>Montáž oken plastových plochy do 1,50 m2</t>
  </si>
  <si>
    <t>Konstrukce doplňkové stavební (zámečnické)</t>
  </si>
  <si>
    <t>Výměna střešního výlezu - plochá střecha (výlez protipožární, zateplený)</t>
  </si>
  <si>
    <t>Nátěry</t>
  </si>
  <si>
    <t>Penetrace betonových podkladů</t>
  </si>
  <si>
    <t>Údržba, nátěr syntet. klempířských konstr.2 x</t>
  </si>
  <si>
    <t>barva Industrol S2013</t>
  </si>
  <si>
    <t>Budovy občanské výstavby</t>
  </si>
  <si>
    <t>Přesun hmot pro budovy zděné výšky do 12 m</t>
  </si>
  <si>
    <t>Přesun hmot pro povlakové krytiny, výšky do 12 m</t>
  </si>
  <si>
    <t>Přesun hmot pro izolace tepelné, výšky do 12 m</t>
  </si>
  <si>
    <t>Přesun hmot pro klempířské konstr., výšky do 12 m</t>
  </si>
  <si>
    <t>Ostatní</t>
  </si>
  <si>
    <t>Odvoz vyprodukovaného odpadu na skládku, uložení</t>
  </si>
  <si>
    <t>Pronájem mechanizace pro přesun hmot</t>
  </si>
  <si>
    <t>jeřáb, stavební výtah</t>
  </si>
  <si>
    <t>Doprava materiálu a řemeslníků na stavbu</t>
  </si>
  <si>
    <t>Ostatní materiál</t>
  </si>
  <si>
    <t>Pás modifikovaný asfalt s břidl. posypem tl. 5mm</t>
  </si>
  <si>
    <t>Klín atikový izolační DDP-KL 1000x50x50 mm</t>
  </si>
  <si>
    <t>Asfaltový samolepící pás tl. 3mm</t>
  </si>
  <si>
    <t>Okno plastové, profil SALAMANDER, dvojsklo</t>
  </si>
  <si>
    <t>Polystyren EPS 100 S</t>
  </si>
  <si>
    <t>Doba výstavby:</t>
  </si>
  <si>
    <t>Začátek výstavby:</t>
  </si>
  <si>
    <t>Konec výstavby:</t>
  </si>
  <si>
    <t>Zpracováno dne: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</si>
  <si>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</si>
  <si>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</si>
  <si>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</si>
  <si>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</si>
  <si>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</si>
  <si>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</si>
  <si>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</si>
  <si>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</si>
  <si>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</si>
  <si>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</si>
  <si>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m3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</si>
  <si>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</si>
  <si>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</si>
  <si>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</si>
  <si>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</si>
  <si>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</si>
  <si>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</si>
  <si>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</si>
  <si>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</si>
  <si>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</si>
  <si>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</si>
  <si>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</si>
  <si>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</si>
  <si>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</si>
  <si>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</si>
  <si>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</si>
  <si>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</si>
  <si>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</si>
  <si>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</si>
  <si>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</si>
  <si>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</si>
  <si>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62_</t>
  </si>
  <si>
    <t>96_</t>
  </si>
  <si>
    <t>97_</t>
  </si>
  <si>
    <t>712_</t>
  </si>
  <si>
    <t>713_</t>
  </si>
  <si>
    <t>728_</t>
  </si>
  <si>
    <t>74_</t>
  </si>
  <si>
    <t>762_</t>
  </si>
  <si>
    <t>764_</t>
  </si>
  <si>
    <t>766_</t>
  </si>
  <si>
    <t>767_</t>
  </si>
  <si>
    <t>783_</t>
  </si>
  <si>
    <t>H01_</t>
  </si>
  <si>
    <t>H712_</t>
  </si>
  <si>
    <t>H713_</t>
  </si>
  <si>
    <t>H764_</t>
  </si>
  <si>
    <t>H800VD_</t>
  </si>
  <si>
    <t>Z99999_</t>
  </si>
  <si>
    <t>3_</t>
  </si>
  <si>
    <t>6_</t>
  </si>
  <si>
    <t>9_</t>
  </si>
  <si>
    <t>71_</t>
  </si>
  <si>
    <t>72_</t>
  </si>
  <si>
    <t>76_</t>
  </si>
  <si>
    <t>78_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</si>
  <si>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</si>
  <si>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</si>
  <si>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</si>
  <si>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</si>
  <si>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</si>
  <si>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</si>
  <si>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</si>
  <si>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</si>
  <si>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</si>
  <si>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</si>
  <si>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</si>
  <si>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</si>
  <si>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</si>
  <si>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</si>
  <si>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</si>
  <si>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</si>
  <si>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</si>
  <si>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</si>
  <si>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</si>
  <si>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</si>
  <si>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</si>
  <si>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</si>
  <si>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</si>
  <si>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</si>
  <si>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</si>
  <si>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</si>
  <si>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</si>
  <si>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</si>
  <si>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</si>
  <si>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</si>
  <si>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</si>
  <si>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</si>
  <si>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</si>
  <si>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</si>
  <si>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</si>
  <si>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</si>
  <si>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</si>
  <si>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</si>
  <si>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</si>
  <si>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</si>
  <si>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</si>
  <si>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</si>
  <si>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</si>
  <si>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</si>
  <si>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</si>
  <si>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</si>
  <si>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</si>
  <si>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</si>
  <si>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</si>
  <si>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</si>
  <si>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</si>
  <si>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</si>
  <si>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</si>
  <si>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</si>
  <si>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</si>
  <si>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</si>
  <si>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</si>
  <si>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</si>
  <si>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střechy budova 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</si>
</sst>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5" fillId="35" borderId="39" xfId="0" applyNumberFormat="1" applyFont="1" applyFill="1" applyBorder="1" applyAlignment="1" applyProtection="1">
      <alignment horizontal="left" vertical="center"/>
      <protection/>
    </xf>
    <xf numFmtId="4" fontId="5" fillId="35" borderId="40" xfId="0" applyNumberFormat="1" applyFont="1" applyFill="1" applyBorder="1" applyAlignment="1" applyProtection="1">
      <alignment horizontal="right" vertical="center"/>
      <protection/>
    </xf>
    <xf numFmtId="4" fontId="5" fillId="35" borderId="41" xfId="0" applyNumberFormat="1" applyFont="1" applyFill="1" applyBorder="1" applyAlignment="1" applyProtection="1">
      <alignment horizontal="right" vertical="center"/>
      <protection/>
    </xf>
    <xf numFmtId="4" fontId="5" fillId="35" borderId="3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5" fillId="35" borderId="42" xfId="0" applyNumberFormat="1" applyFont="1" applyFill="1" applyBorder="1" applyAlignment="1" applyProtection="1">
      <alignment horizontal="left" vertical="center"/>
      <protection/>
    </xf>
    <xf numFmtId="4" fontId="5" fillId="35" borderId="42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35" borderId="40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49" fontId="5" fillId="35" borderId="41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53" xfId="0" applyNumberFormat="1" applyFont="1" applyFill="1" applyBorder="1" applyAlignment="1" applyProtection="1">
      <alignment horizontal="left" vertical="center"/>
      <protection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55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P18" sqref="P18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81.00390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2.75">
      <c r="A2" s="121" t="s">
        <v>1</v>
      </c>
      <c r="B2" s="122"/>
      <c r="C2" s="123" t="s">
        <v>320</v>
      </c>
      <c r="D2" s="87"/>
      <c r="E2" s="125" t="s">
        <v>202</v>
      </c>
      <c r="F2" s="122"/>
      <c r="G2" s="125" t="s">
        <v>6</v>
      </c>
      <c r="H2" s="126" t="s">
        <v>206</v>
      </c>
      <c r="I2" s="122"/>
      <c r="J2" s="125" t="s">
        <v>218</v>
      </c>
      <c r="K2" s="122"/>
      <c r="L2" s="122"/>
      <c r="M2" s="127"/>
      <c r="N2" s="6"/>
    </row>
    <row r="3" spans="1:14" ht="12.75">
      <c r="A3" s="118"/>
      <c r="B3" s="89"/>
      <c r="C3" s="124"/>
      <c r="D3" s="124"/>
      <c r="E3" s="89"/>
      <c r="F3" s="89"/>
      <c r="G3" s="89"/>
      <c r="H3" s="89"/>
      <c r="I3" s="89"/>
      <c r="J3" s="89"/>
      <c r="K3" s="89"/>
      <c r="L3" s="89"/>
      <c r="M3" s="116"/>
      <c r="N3" s="6"/>
    </row>
    <row r="4" spans="1:14" ht="12.75">
      <c r="A4" s="112" t="s">
        <v>2</v>
      </c>
      <c r="B4" s="89"/>
      <c r="C4" s="88"/>
      <c r="D4" s="89"/>
      <c r="E4" s="115" t="s">
        <v>203</v>
      </c>
      <c r="F4" s="89"/>
      <c r="G4" s="115" t="s">
        <v>6</v>
      </c>
      <c r="H4" s="88" t="s">
        <v>207</v>
      </c>
      <c r="I4" s="89"/>
      <c r="J4" s="115" t="s">
        <v>218</v>
      </c>
      <c r="K4" s="89"/>
      <c r="L4" s="89"/>
      <c r="M4" s="116"/>
      <c r="N4" s="6"/>
    </row>
    <row r="5" spans="1:14" ht="12.75">
      <c r="A5" s="11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116"/>
      <c r="N5" s="6"/>
    </row>
    <row r="6" spans="1:14" ht="12.75">
      <c r="A6" s="112" t="s">
        <v>3</v>
      </c>
      <c r="B6" s="89"/>
      <c r="C6" s="88" t="s">
        <v>124</v>
      </c>
      <c r="D6" s="89"/>
      <c r="E6" s="115" t="s">
        <v>204</v>
      </c>
      <c r="F6" s="89"/>
      <c r="G6" s="115" t="s">
        <v>6</v>
      </c>
      <c r="H6" s="88" t="s">
        <v>208</v>
      </c>
      <c r="I6" s="89"/>
      <c r="J6" s="88"/>
      <c r="K6" s="89"/>
      <c r="L6" s="89"/>
      <c r="M6" s="116"/>
      <c r="N6" s="6"/>
    </row>
    <row r="7" spans="1:14" ht="12.75">
      <c r="A7" s="11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6"/>
      <c r="N7" s="6"/>
    </row>
    <row r="8" spans="1:14" ht="12.75">
      <c r="A8" s="112" t="s">
        <v>4</v>
      </c>
      <c r="B8" s="89"/>
      <c r="C8" s="88" t="s">
        <v>6</v>
      </c>
      <c r="D8" s="89"/>
      <c r="E8" s="115" t="s">
        <v>205</v>
      </c>
      <c r="F8" s="89"/>
      <c r="G8" s="115"/>
      <c r="H8" s="88" t="s">
        <v>209</v>
      </c>
      <c r="I8" s="89"/>
      <c r="J8" s="88"/>
      <c r="K8" s="89"/>
      <c r="L8" s="89"/>
      <c r="M8" s="116"/>
      <c r="N8" s="6"/>
    </row>
    <row r="9" spans="1:14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7"/>
      <c r="N9" s="6"/>
    </row>
    <row r="10" spans="1:64" ht="12.75">
      <c r="A10" s="1" t="s">
        <v>5</v>
      </c>
      <c r="B10" s="11" t="s">
        <v>57</v>
      </c>
      <c r="C10" s="101" t="s">
        <v>125</v>
      </c>
      <c r="D10" s="102"/>
      <c r="E10" s="102"/>
      <c r="F10" s="102"/>
      <c r="G10" s="103"/>
      <c r="H10" s="11" t="s">
        <v>210</v>
      </c>
      <c r="I10" s="22" t="s">
        <v>217</v>
      </c>
      <c r="J10" s="26" t="s">
        <v>219</v>
      </c>
      <c r="K10" s="104" t="s">
        <v>221</v>
      </c>
      <c r="L10" s="105"/>
      <c r="M10" s="106"/>
      <c r="N10" s="31"/>
      <c r="BK10" s="32" t="s">
        <v>267</v>
      </c>
      <c r="BL10" s="37" t="s">
        <v>270</v>
      </c>
    </row>
    <row r="11" spans="1:62" ht="12.75">
      <c r="A11" s="2" t="s">
        <v>6</v>
      </c>
      <c r="B11" s="12" t="s">
        <v>6</v>
      </c>
      <c r="C11" s="107" t="s">
        <v>126</v>
      </c>
      <c r="D11" s="108"/>
      <c r="E11" s="108"/>
      <c r="F11" s="108"/>
      <c r="G11" s="109"/>
      <c r="H11" s="12" t="s">
        <v>6</v>
      </c>
      <c r="I11" s="12" t="s">
        <v>6</v>
      </c>
      <c r="J11" s="27" t="s">
        <v>220</v>
      </c>
      <c r="K11" s="28" t="s">
        <v>222</v>
      </c>
      <c r="L11" s="29" t="s">
        <v>224</v>
      </c>
      <c r="M11" s="30" t="s">
        <v>225</v>
      </c>
      <c r="N11" s="31"/>
      <c r="Z11" s="32" t="s">
        <v>226</v>
      </c>
      <c r="AA11" s="32" t="s">
        <v>227</v>
      </c>
      <c r="AB11" s="32" t="s">
        <v>228</v>
      </c>
      <c r="AC11" s="32" t="s">
        <v>229</v>
      </c>
      <c r="AD11" s="32" t="s">
        <v>230</v>
      </c>
      <c r="AE11" s="32" t="s">
        <v>231</v>
      </c>
      <c r="AF11" s="32" t="s">
        <v>232</v>
      </c>
      <c r="AG11" s="32" t="s">
        <v>233</v>
      </c>
      <c r="AH11" s="32" t="s">
        <v>234</v>
      </c>
      <c r="BH11" s="32" t="s">
        <v>264</v>
      </c>
      <c r="BI11" s="32" t="s">
        <v>265</v>
      </c>
      <c r="BJ11" s="32" t="s">
        <v>266</v>
      </c>
    </row>
    <row r="12" spans="1:47" ht="12.75">
      <c r="A12" s="3"/>
      <c r="B12" s="13" t="s">
        <v>37</v>
      </c>
      <c r="C12" s="110" t="s">
        <v>127</v>
      </c>
      <c r="D12" s="111"/>
      <c r="E12" s="111"/>
      <c r="F12" s="111"/>
      <c r="G12" s="111"/>
      <c r="H12" s="20" t="s">
        <v>6</v>
      </c>
      <c r="I12" s="20" t="s">
        <v>6</v>
      </c>
      <c r="J12" s="20" t="s">
        <v>6</v>
      </c>
      <c r="K12" s="38">
        <f>SUM(K13:K13)</f>
        <v>0</v>
      </c>
      <c r="L12" s="38">
        <f>SUM(L13:L13)</f>
        <v>0</v>
      </c>
      <c r="M12" s="40">
        <f>SUM(M13:M13)</f>
        <v>0</v>
      </c>
      <c r="N12" s="6"/>
      <c r="AI12" s="32"/>
      <c r="AS12" s="39">
        <f>SUM(AJ13:AJ13)</f>
        <v>0</v>
      </c>
      <c r="AT12" s="39">
        <f>SUM(AK13:AK13)</f>
        <v>0</v>
      </c>
      <c r="AU12" s="39">
        <f>SUM(AL13:AL13)</f>
        <v>0</v>
      </c>
    </row>
    <row r="13" spans="1:64" ht="12.75">
      <c r="A13" s="75" t="s">
        <v>7</v>
      </c>
      <c r="B13" s="75" t="s">
        <v>58</v>
      </c>
      <c r="C13" s="99" t="s">
        <v>128</v>
      </c>
      <c r="D13" s="91"/>
      <c r="E13" s="91"/>
      <c r="F13" s="91"/>
      <c r="G13" s="100"/>
      <c r="H13" s="75" t="s">
        <v>211</v>
      </c>
      <c r="I13" s="78">
        <v>8</v>
      </c>
      <c r="J13" s="78">
        <v>0</v>
      </c>
      <c r="K13" s="78">
        <f>I13*AO13</f>
        <v>0</v>
      </c>
      <c r="L13" s="78">
        <f>I13*AP13</f>
        <v>0</v>
      </c>
      <c r="M13" s="77">
        <f>I13*J13</f>
        <v>0</v>
      </c>
      <c r="N13" s="79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J13*0.584147522947832</f>
        <v>0</v>
      </c>
      <c r="AP13" s="33">
        <f>J13*(1-0.584147522947832)</f>
        <v>0</v>
      </c>
      <c r="AQ13" s="34" t="s">
        <v>7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236</v>
      </c>
      <c r="AZ13" s="36" t="s">
        <v>255</v>
      </c>
      <c r="BA13" s="32" t="s">
        <v>263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268</v>
      </c>
      <c r="BL13" s="33">
        <v>31</v>
      </c>
    </row>
    <row r="14" spans="1:47" ht="12.75">
      <c r="A14" s="5"/>
      <c r="B14" s="15" t="s">
        <v>59</v>
      </c>
      <c r="C14" s="95" t="s">
        <v>129</v>
      </c>
      <c r="D14" s="96"/>
      <c r="E14" s="96"/>
      <c r="F14" s="96"/>
      <c r="G14" s="96"/>
      <c r="H14" s="21" t="s">
        <v>6</v>
      </c>
      <c r="I14" s="21" t="s">
        <v>6</v>
      </c>
      <c r="J14" s="21" t="s">
        <v>6</v>
      </c>
      <c r="K14" s="39">
        <f>SUM(K15:K18)</f>
        <v>0</v>
      </c>
      <c r="L14" s="39">
        <f>SUM(L15:L18)</f>
        <v>0</v>
      </c>
      <c r="M14" s="42">
        <f>SUM(M15:M18)</f>
        <v>0</v>
      </c>
      <c r="N14" s="6"/>
      <c r="AI14" s="32"/>
      <c r="AS14" s="39">
        <f>SUM(AJ15:AJ18)</f>
        <v>0</v>
      </c>
      <c r="AT14" s="39">
        <f>SUM(AK15:AK18)</f>
        <v>0</v>
      </c>
      <c r="AU14" s="39">
        <f>SUM(AL15:AL18)</f>
        <v>0</v>
      </c>
    </row>
    <row r="15" spans="1:64" ht="12.75">
      <c r="A15" s="4" t="s">
        <v>8</v>
      </c>
      <c r="B15" s="14" t="s">
        <v>60</v>
      </c>
      <c r="C15" s="90" t="s">
        <v>130</v>
      </c>
      <c r="D15" s="91"/>
      <c r="E15" s="91"/>
      <c r="F15" s="91"/>
      <c r="G15" s="91"/>
      <c r="H15" s="14" t="s">
        <v>212</v>
      </c>
      <c r="I15" s="23">
        <v>63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6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J15*0.335508329196346</f>
        <v>0</v>
      </c>
      <c r="AP15" s="33">
        <f>J15*(1-0.335508329196346)</f>
        <v>0</v>
      </c>
      <c r="AQ15" s="34" t="s">
        <v>7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237</v>
      </c>
      <c r="AZ15" s="36" t="s">
        <v>256</v>
      </c>
      <c r="BA15" s="32" t="s">
        <v>263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268</v>
      </c>
      <c r="BL15" s="33">
        <v>62</v>
      </c>
    </row>
    <row r="16" spans="1:64" ht="12.75">
      <c r="A16" s="4" t="s">
        <v>9</v>
      </c>
      <c r="B16" s="14" t="s">
        <v>61</v>
      </c>
      <c r="C16" s="90" t="s">
        <v>131</v>
      </c>
      <c r="D16" s="91"/>
      <c r="E16" s="91"/>
      <c r="F16" s="91"/>
      <c r="G16" s="91"/>
      <c r="H16" s="14" t="s">
        <v>213</v>
      </c>
      <c r="I16" s="23">
        <v>27</v>
      </c>
      <c r="J16" s="23">
        <v>0</v>
      </c>
      <c r="K16" s="23">
        <f>I16*AO16</f>
        <v>0</v>
      </c>
      <c r="L16" s="23">
        <f>I16*AP16</f>
        <v>0</v>
      </c>
      <c r="M16" s="41">
        <f>I16*J16</f>
        <v>0</v>
      </c>
      <c r="N16" s="6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32"/>
      <c r="AJ16" s="23">
        <f>IF(AN16=0,M16,0)</f>
        <v>0</v>
      </c>
      <c r="AK16" s="23">
        <f>IF(AN16=15,M16,0)</f>
        <v>0</v>
      </c>
      <c r="AL16" s="23">
        <f>IF(AN16=21,M16,0)</f>
        <v>0</v>
      </c>
      <c r="AN16" s="33">
        <v>0</v>
      </c>
      <c r="AO16" s="33">
        <f>J16*0.332766915753916</f>
        <v>0</v>
      </c>
      <c r="AP16" s="33">
        <f>J16*(1-0.332766915753916)</f>
        <v>0</v>
      </c>
      <c r="AQ16" s="34" t="s">
        <v>7</v>
      </c>
      <c r="AV16" s="33">
        <f>AW16+AX16</f>
        <v>0</v>
      </c>
      <c r="AW16" s="33">
        <f>I16*AO16</f>
        <v>0</v>
      </c>
      <c r="AX16" s="33">
        <f>I16*AP16</f>
        <v>0</v>
      </c>
      <c r="AY16" s="36" t="s">
        <v>237</v>
      </c>
      <c r="AZ16" s="36" t="s">
        <v>256</v>
      </c>
      <c r="BA16" s="32" t="s">
        <v>263</v>
      </c>
      <c r="BC16" s="33">
        <f>AW16+AX16</f>
        <v>0</v>
      </c>
      <c r="BD16" s="33">
        <f>J16/(100-BE16)*100</f>
        <v>0</v>
      </c>
      <c r="BE16" s="33">
        <v>0</v>
      </c>
      <c r="BF16" s="33">
        <f>16</f>
        <v>16</v>
      </c>
      <c r="BH16" s="23">
        <f>I16*AO16</f>
        <v>0</v>
      </c>
      <c r="BI16" s="23">
        <f>I16*AP16</f>
        <v>0</v>
      </c>
      <c r="BJ16" s="23">
        <f>I16*J16</f>
        <v>0</v>
      </c>
      <c r="BK16" s="23" t="s">
        <v>268</v>
      </c>
      <c r="BL16" s="33">
        <v>62</v>
      </c>
    </row>
    <row r="17" spans="1:64" ht="12.75">
      <c r="A17" s="4" t="s">
        <v>10</v>
      </c>
      <c r="B17" s="14" t="s">
        <v>62</v>
      </c>
      <c r="C17" s="90" t="s">
        <v>132</v>
      </c>
      <c r="D17" s="91"/>
      <c r="E17" s="91"/>
      <c r="F17" s="91"/>
      <c r="G17" s="91"/>
      <c r="H17" s="14" t="s">
        <v>214</v>
      </c>
      <c r="I17" s="23">
        <v>1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6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J17*0.319216945348127</f>
        <v>0</v>
      </c>
      <c r="AP17" s="33">
        <f>J17*(1-0.319216945348127)</f>
        <v>0</v>
      </c>
      <c r="AQ17" s="34" t="s">
        <v>7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237</v>
      </c>
      <c r="AZ17" s="36" t="s">
        <v>256</v>
      </c>
      <c r="BA17" s="32" t="s">
        <v>263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268</v>
      </c>
      <c r="BL17" s="33">
        <v>62</v>
      </c>
    </row>
    <row r="18" spans="1:64" ht="12.75">
      <c r="A18" s="4" t="s">
        <v>11</v>
      </c>
      <c r="B18" s="14" t="s">
        <v>63</v>
      </c>
      <c r="C18" s="90" t="s">
        <v>133</v>
      </c>
      <c r="D18" s="91"/>
      <c r="E18" s="91"/>
      <c r="F18" s="91"/>
      <c r="G18" s="91"/>
      <c r="H18" s="14" t="s">
        <v>212</v>
      </c>
      <c r="I18" s="23">
        <v>63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6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J18*0.547882882882883</f>
        <v>0</v>
      </c>
      <c r="AP18" s="33">
        <f>J18*(1-0.547882882882883)</f>
        <v>0</v>
      </c>
      <c r="AQ18" s="34" t="s">
        <v>7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237</v>
      </c>
      <c r="AZ18" s="36" t="s">
        <v>256</v>
      </c>
      <c r="BA18" s="32" t="s">
        <v>263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268</v>
      </c>
      <c r="BL18" s="33">
        <v>62</v>
      </c>
    </row>
    <row r="19" spans="1:47" ht="12.75">
      <c r="A19" s="5"/>
      <c r="B19" s="15" t="s">
        <v>64</v>
      </c>
      <c r="C19" s="95" t="s">
        <v>134</v>
      </c>
      <c r="D19" s="96"/>
      <c r="E19" s="96"/>
      <c r="F19" s="96"/>
      <c r="G19" s="96"/>
      <c r="H19" s="21" t="s">
        <v>6</v>
      </c>
      <c r="I19" s="21" t="s">
        <v>6</v>
      </c>
      <c r="J19" s="21" t="s">
        <v>6</v>
      </c>
      <c r="K19" s="39">
        <f>SUM(K20:K20)</f>
        <v>0</v>
      </c>
      <c r="L19" s="39">
        <f>SUM(L20:L20)</f>
        <v>0</v>
      </c>
      <c r="M19" s="42">
        <f>SUM(M20:M20)</f>
        <v>0</v>
      </c>
      <c r="N19" s="6"/>
      <c r="AI19" s="32"/>
      <c r="AS19" s="39">
        <f>SUM(AJ20:AJ20)</f>
        <v>0</v>
      </c>
      <c r="AT19" s="39">
        <f>SUM(AK20:AK20)</f>
        <v>0</v>
      </c>
      <c r="AU19" s="39">
        <f>SUM(AL20:AL20)</f>
        <v>0</v>
      </c>
    </row>
    <row r="20" spans="1:64" ht="12.75">
      <c r="A20" s="4" t="s">
        <v>12</v>
      </c>
      <c r="B20" s="14" t="s">
        <v>65</v>
      </c>
      <c r="C20" s="90" t="s">
        <v>135</v>
      </c>
      <c r="D20" s="91"/>
      <c r="E20" s="91"/>
      <c r="F20" s="91"/>
      <c r="G20" s="91"/>
      <c r="H20" s="14" t="s">
        <v>212</v>
      </c>
      <c r="I20" s="23">
        <v>1.2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6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J20*0.0968300516370652</f>
        <v>0</v>
      </c>
      <c r="AP20" s="33">
        <f>J20*(1-0.0968300516370652)</f>
        <v>0</v>
      </c>
      <c r="AQ20" s="34" t="s">
        <v>7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238</v>
      </c>
      <c r="AZ20" s="36" t="s">
        <v>257</v>
      </c>
      <c r="BA20" s="32" t="s">
        <v>263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268</v>
      </c>
      <c r="BL20" s="33">
        <v>96</v>
      </c>
    </row>
    <row r="21" spans="1:47" ht="12.75">
      <c r="A21" s="5"/>
      <c r="B21" s="15" t="s">
        <v>66</v>
      </c>
      <c r="C21" s="95" t="s">
        <v>136</v>
      </c>
      <c r="D21" s="96"/>
      <c r="E21" s="96"/>
      <c r="F21" s="96"/>
      <c r="G21" s="96"/>
      <c r="H21" s="21" t="s">
        <v>6</v>
      </c>
      <c r="I21" s="21" t="s">
        <v>6</v>
      </c>
      <c r="J21" s="21" t="s">
        <v>6</v>
      </c>
      <c r="K21" s="39">
        <f>SUM(K22:K22)</f>
        <v>0</v>
      </c>
      <c r="L21" s="39">
        <f>SUM(L22:L22)</f>
        <v>0</v>
      </c>
      <c r="M21" s="42">
        <f>SUM(M22:M22)</f>
        <v>0</v>
      </c>
      <c r="N21" s="6"/>
      <c r="AI21" s="32"/>
      <c r="AS21" s="39">
        <f>SUM(AJ22:AJ22)</f>
        <v>0</v>
      </c>
      <c r="AT21" s="39">
        <f>SUM(AK22:AK22)</f>
        <v>0</v>
      </c>
      <c r="AU21" s="39">
        <f>SUM(AL22:AL22)</f>
        <v>0</v>
      </c>
    </row>
    <row r="22" spans="1:64" ht="12.75">
      <c r="A22" s="4" t="s">
        <v>13</v>
      </c>
      <c r="B22" s="14" t="s">
        <v>67</v>
      </c>
      <c r="C22" s="90" t="s">
        <v>137</v>
      </c>
      <c r="D22" s="91"/>
      <c r="E22" s="91"/>
      <c r="F22" s="91"/>
      <c r="G22" s="91"/>
      <c r="H22" s="14" t="s">
        <v>212</v>
      </c>
      <c r="I22" s="23">
        <v>63</v>
      </c>
      <c r="J22" s="23">
        <v>0</v>
      </c>
      <c r="K22" s="23">
        <f>I22*AO22</f>
        <v>0</v>
      </c>
      <c r="L22" s="23">
        <f>I22*AP22</f>
        <v>0</v>
      </c>
      <c r="M22" s="41">
        <f>I22*J22</f>
        <v>0</v>
      </c>
      <c r="N22" s="6"/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32"/>
      <c r="AJ22" s="23">
        <f>IF(AN22=0,M22,0)</f>
        <v>0</v>
      </c>
      <c r="AK22" s="23">
        <f>IF(AN22=15,M22,0)</f>
        <v>0</v>
      </c>
      <c r="AL22" s="23">
        <f>IF(AN22=21,M22,0)</f>
        <v>0</v>
      </c>
      <c r="AN22" s="33">
        <v>0</v>
      </c>
      <c r="AO22" s="33">
        <f>J22*0</f>
        <v>0</v>
      </c>
      <c r="AP22" s="33">
        <f>J22*(1-0)</f>
        <v>0</v>
      </c>
      <c r="AQ22" s="34" t="s">
        <v>7</v>
      </c>
      <c r="AV22" s="33">
        <f>AW22+AX22</f>
        <v>0</v>
      </c>
      <c r="AW22" s="33">
        <f>I22*AO22</f>
        <v>0</v>
      </c>
      <c r="AX22" s="33">
        <f>I22*AP22</f>
        <v>0</v>
      </c>
      <c r="AY22" s="36" t="s">
        <v>239</v>
      </c>
      <c r="AZ22" s="36" t="s">
        <v>257</v>
      </c>
      <c r="BA22" s="32" t="s">
        <v>263</v>
      </c>
      <c r="BC22" s="33">
        <f>AW22+AX22</f>
        <v>0</v>
      </c>
      <c r="BD22" s="33">
        <f>J22/(100-BE22)*100</f>
        <v>0</v>
      </c>
      <c r="BE22" s="33">
        <v>0</v>
      </c>
      <c r="BF22" s="33">
        <f>22</f>
        <v>22</v>
      </c>
      <c r="BH22" s="23">
        <f>I22*AO22</f>
        <v>0</v>
      </c>
      <c r="BI22" s="23">
        <f>I22*AP22</f>
        <v>0</v>
      </c>
      <c r="BJ22" s="23">
        <f>I22*J22</f>
        <v>0</v>
      </c>
      <c r="BK22" s="23" t="s">
        <v>268</v>
      </c>
      <c r="BL22" s="33">
        <v>97</v>
      </c>
    </row>
    <row r="23" spans="1:47" ht="12.75">
      <c r="A23" s="5"/>
      <c r="B23" s="15" t="s">
        <v>68</v>
      </c>
      <c r="C23" s="95" t="s">
        <v>138</v>
      </c>
      <c r="D23" s="96"/>
      <c r="E23" s="96"/>
      <c r="F23" s="96"/>
      <c r="G23" s="96"/>
      <c r="H23" s="21" t="s">
        <v>6</v>
      </c>
      <c r="I23" s="21" t="s">
        <v>6</v>
      </c>
      <c r="J23" s="21" t="s">
        <v>6</v>
      </c>
      <c r="K23" s="39">
        <f>SUM(K24:K37)</f>
        <v>0</v>
      </c>
      <c r="L23" s="39">
        <f>SUM(L24:L37)</f>
        <v>0</v>
      </c>
      <c r="M23" s="42">
        <f>SUM(M24:M37)</f>
        <v>0</v>
      </c>
      <c r="N23" s="6"/>
      <c r="AI23" s="32"/>
      <c r="AS23" s="39">
        <f>SUM(AJ24:AJ37)</f>
        <v>0</v>
      </c>
      <c r="AT23" s="39">
        <f>SUM(AK24:AK37)</f>
        <v>0</v>
      </c>
      <c r="AU23" s="39">
        <f>SUM(AL24:AL37)</f>
        <v>0</v>
      </c>
    </row>
    <row r="24" spans="1:64" ht="12.75">
      <c r="A24" s="4" t="s">
        <v>14</v>
      </c>
      <c r="B24" s="14" t="s">
        <v>69</v>
      </c>
      <c r="C24" s="90" t="s">
        <v>139</v>
      </c>
      <c r="D24" s="91"/>
      <c r="E24" s="91"/>
      <c r="F24" s="91"/>
      <c r="G24" s="91"/>
      <c r="H24" s="14" t="s">
        <v>212</v>
      </c>
      <c r="I24" s="23">
        <v>806</v>
      </c>
      <c r="J24" s="23">
        <v>0</v>
      </c>
      <c r="K24" s="23">
        <f>I24*AO24</f>
        <v>0</v>
      </c>
      <c r="L24" s="23">
        <f>I24*AP24</f>
        <v>0</v>
      </c>
      <c r="M24" s="41">
        <f>I24*J24</f>
        <v>0</v>
      </c>
      <c r="N24" s="6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32"/>
      <c r="AJ24" s="23">
        <f>IF(AN24=0,M24,0)</f>
        <v>0</v>
      </c>
      <c r="AK24" s="23">
        <f>IF(AN24=15,M24,0)</f>
        <v>0</v>
      </c>
      <c r="AL24" s="23">
        <f>IF(AN24=21,M24,0)</f>
        <v>0</v>
      </c>
      <c r="AN24" s="33">
        <v>0</v>
      </c>
      <c r="AO24" s="33">
        <f>J24*0</f>
        <v>0</v>
      </c>
      <c r="AP24" s="33">
        <f>J24*(1-0)</f>
        <v>0</v>
      </c>
      <c r="AQ24" s="34" t="s">
        <v>13</v>
      </c>
      <c r="AV24" s="33">
        <f>AW24+AX24</f>
        <v>0</v>
      </c>
      <c r="AW24" s="33">
        <f>I24*AO24</f>
        <v>0</v>
      </c>
      <c r="AX24" s="33">
        <f>I24*AP24</f>
        <v>0</v>
      </c>
      <c r="AY24" s="36" t="s">
        <v>240</v>
      </c>
      <c r="AZ24" s="36" t="s">
        <v>258</v>
      </c>
      <c r="BA24" s="32" t="s">
        <v>263</v>
      </c>
      <c r="BC24" s="33">
        <f>AW24+AX24</f>
        <v>0</v>
      </c>
      <c r="BD24" s="33">
        <f>J24/(100-BE24)*100</f>
        <v>0</v>
      </c>
      <c r="BE24" s="33">
        <v>0</v>
      </c>
      <c r="BF24" s="33">
        <f>24</f>
        <v>24</v>
      </c>
      <c r="BH24" s="23">
        <f>I24*AO24</f>
        <v>0</v>
      </c>
      <c r="BI24" s="23">
        <f>I24*AP24</f>
        <v>0</v>
      </c>
      <c r="BJ24" s="23">
        <f>I24*J24</f>
        <v>0</v>
      </c>
      <c r="BK24" s="23" t="s">
        <v>268</v>
      </c>
      <c r="BL24" s="33">
        <v>712</v>
      </c>
    </row>
    <row r="25" spans="1:64" ht="12.75">
      <c r="A25" s="4" t="s">
        <v>15</v>
      </c>
      <c r="B25" s="14" t="s">
        <v>70</v>
      </c>
      <c r="C25" s="90" t="s">
        <v>140</v>
      </c>
      <c r="D25" s="91"/>
      <c r="E25" s="91"/>
      <c r="F25" s="91"/>
      <c r="G25" s="91"/>
      <c r="H25" s="14" t="s">
        <v>211</v>
      </c>
      <c r="I25" s="23">
        <v>2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6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J25*0.666810943389421</f>
        <v>0</v>
      </c>
      <c r="AP25" s="33">
        <f>J25*(1-0.666810943389421)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240</v>
      </c>
      <c r="AZ25" s="36" t="s">
        <v>258</v>
      </c>
      <c r="BA25" s="32" t="s">
        <v>263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268</v>
      </c>
      <c r="BL25" s="33">
        <v>712</v>
      </c>
    </row>
    <row r="26" spans="1:64" ht="12.75">
      <c r="A26" s="4" t="s">
        <v>16</v>
      </c>
      <c r="B26" s="14" t="s">
        <v>71</v>
      </c>
      <c r="C26" s="90" t="s">
        <v>141</v>
      </c>
      <c r="D26" s="91"/>
      <c r="E26" s="91"/>
      <c r="F26" s="91"/>
      <c r="G26" s="91"/>
      <c r="H26" s="14" t="s">
        <v>212</v>
      </c>
      <c r="I26" s="23">
        <v>806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6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J26*0.0863815187775071</f>
        <v>0</v>
      </c>
      <c r="AP26" s="33">
        <f>J26*(1-0.0863815187775071)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240</v>
      </c>
      <c r="AZ26" s="36" t="s">
        <v>258</v>
      </c>
      <c r="BA26" s="32" t="s">
        <v>263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268</v>
      </c>
      <c r="BL26" s="33">
        <v>712</v>
      </c>
    </row>
    <row r="27" spans="1:14" ht="12.75">
      <c r="A27" s="6"/>
      <c r="B27" s="16" t="s">
        <v>72</v>
      </c>
      <c r="C27" s="92" t="s">
        <v>142</v>
      </c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6"/>
    </row>
    <row r="28" spans="1:64" ht="12.75">
      <c r="A28" s="4" t="s">
        <v>17</v>
      </c>
      <c r="B28" s="14" t="s">
        <v>73</v>
      </c>
      <c r="C28" s="90" t="s">
        <v>143</v>
      </c>
      <c r="D28" s="91"/>
      <c r="E28" s="91"/>
      <c r="F28" s="91"/>
      <c r="G28" s="91"/>
      <c r="H28" s="14" t="s">
        <v>213</v>
      </c>
      <c r="I28" s="23">
        <v>191</v>
      </c>
      <c r="J28" s="23">
        <v>0</v>
      </c>
      <c r="K28" s="23">
        <f>I28*AO28</f>
        <v>0</v>
      </c>
      <c r="L28" s="23">
        <f>I28*AP28</f>
        <v>0</v>
      </c>
      <c r="M28" s="41">
        <f>I28*J28</f>
        <v>0</v>
      </c>
      <c r="N28" s="6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32"/>
      <c r="AJ28" s="23">
        <f>IF(AN28=0,M28,0)</f>
        <v>0</v>
      </c>
      <c r="AK28" s="23">
        <f>IF(AN28=15,M28,0)</f>
        <v>0</v>
      </c>
      <c r="AL28" s="23">
        <f>IF(AN28=21,M28,0)</f>
        <v>0</v>
      </c>
      <c r="AN28" s="33">
        <v>0</v>
      </c>
      <c r="AO28" s="33">
        <f>J28*0</f>
        <v>0</v>
      </c>
      <c r="AP28" s="33">
        <f>J28*(1-0)</f>
        <v>0</v>
      </c>
      <c r="AQ28" s="34" t="s">
        <v>13</v>
      </c>
      <c r="AV28" s="33">
        <f>AW28+AX28</f>
        <v>0</v>
      </c>
      <c r="AW28" s="33">
        <f>I28*AO28</f>
        <v>0</v>
      </c>
      <c r="AX28" s="33">
        <f>I28*AP28</f>
        <v>0</v>
      </c>
      <c r="AY28" s="36" t="s">
        <v>240</v>
      </c>
      <c r="AZ28" s="36" t="s">
        <v>258</v>
      </c>
      <c r="BA28" s="32" t="s">
        <v>263</v>
      </c>
      <c r="BC28" s="33">
        <f>AW28+AX28</f>
        <v>0</v>
      </c>
      <c r="BD28" s="33">
        <f>J28/(100-BE28)*100</f>
        <v>0</v>
      </c>
      <c r="BE28" s="33">
        <v>0</v>
      </c>
      <c r="BF28" s="33">
        <f>28</f>
        <v>28</v>
      </c>
      <c r="BH28" s="23">
        <f>I28*AO28</f>
        <v>0</v>
      </c>
      <c r="BI28" s="23">
        <f>I28*AP28</f>
        <v>0</v>
      </c>
      <c r="BJ28" s="23">
        <f>I28*J28</f>
        <v>0</v>
      </c>
      <c r="BK28" s="23" t="s">
        <v>268</v>
      </c>
      <c r="BL28" s="33">
        <v>712</v>
      </c>
    </row>
    <row r="29" spans="1:14" ht="12.75">
      <c r="A29" s="6"/>
      <c r="B29" s="16" t="s">
        <v>72</v>
      </c>
      <c r="C29" s="92" t="s">
        <v>144</v>
      </c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6"/>
    </row>
    <row r="30" spans="1:64" ht="12.75">
      <c r="A30" s="4" t="s">
        <v>18</v>
      </c>
      <c r="B30" s="14" t="s">
        <v>74</v>
      </c>
      <c r="C30" s="90" t="s">
        <v>145</v>
      </c>
      <c r="D30" s="91"/>
      <c r="E30" s="91"/>
      <c r="F30" s="91"/>
      <c r="G30" s="91"/>
      <c r="H30" s="14" t="s">
        <v>212</v>
      </c>
      <c r="I30" s="23">
        <v>179</v>
      </c>
      <c r="J30" s="23">
        <v>0</v>
      </c>
      <c r="K30" s="23">
        <f>I30*AO30</f>
        <v>0</v>
      </c>
      <c r="L30" s="23">
        <f>I30*AP30</f>
        <v>0</v>
      </c>
      <c r="M30" s="41">
        <f>I30*J30</f>
        <v>0</v>
      </c>
      <c r="N30" s="6"/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32"/>
      <c r="AJ30" s="23">
        <f>IF(AN30=0,M30,0)</f>
        <v>0</v>
      </c>
      <c r="AK30" s="23">
        <f>IF(AN30=15,M30,0)</f>
        <v>0</v>
      </c>
      <c r="AL30" s="23">
        <f>IF(AN30=21,M30,0)</f>
        <v>0</v>
      </c>
      <c r="AN30" s="33">
        <v>0</v>
      </c>
      <c r="AO30" s="33">
        <f>J30*0.0364538962096937</f>
        <v>0</v>
      </c>
      <c r="AP30" s="33">
        <f>J30*(1-0.0364538962096937)</f>
        <v>0</v>
      </c>
      <c r="AQ30" s="34" t="s">
        <v>13</v>
      </c>
      <c r="AV30" s="33">
        <f>AW30+AX30</f>
        <v>0</v>
      </c>
      <c r="AW30" s="33">
        <f>I30*AO30</f>
        <v>0</v>
      </c>
      <c r="AX30" s="33">
        <f>I30*AP30</f>
        <v>0</v>
      </c>
      <c r="AY30" s="36" t="s">
        <v>240</v>
      </c>
      <c r="AZ30" s="36" t="s">
        <v>258</v>
      </c>
      <c r="BA30" s="32" t="s">
        <v>263</v>
      </c>
      <c r="BC30" s="33">
        <f>AW30+AX30</f>
        <v>0</v>
      </c>
      <c r="BD30" s="33">
        <f>J30/(100-BE30)*100</f>
        <v>0</v>
      </c>
      <c r="BE30" s="33">
        <v>0</v>
      </c>
      <c r="BF30" s="33">
        <f>30</f>
        <v>30</v>
      </c>
      <c r="BH30" s="23">
        <f>I30*AO30</f>
        <v>0</v>
      </c>
      <c r="BI30" s="23">
        <f>I30*AP30</f>
        <v>0</v>
      </c>
      <c r="BJ30" s="23">
        <f>I30*J30</f>
        <v>0</v>
      </c>
      <c r="BK30" s="23" t="s">
        <v>268</v>
      </c>
      <c r="BL30" s="33">
        <v>712</v>
      </c>
    </row>
    <row r="31" spans="1:14" ht="12.75">
      <c r="A31" s="6"/>
      <c r="B31" s="16" t="s">
        <v>72</v>
      </c>
      <c r="C31" s="92" t="s">
        <v>146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6"/>
    </row>
    <row r="32" spans="1:64" ht="12.75">
      <c r="A32" s="4" t="s">
        <v>19</v>
      </c>
      <c r="B32" s="14" t="s">
        <v>75</v>
      </c>
      <c r="C32" s="90" t="s">
        <v>147</v>
      </c>
      <c r="D32" s="91"/>
      <c r="E32" s="91"/>
      <c r="F32" s="91"/>
      <c r="G32" s="91"/>
      <c r="H32" s="14" t="s">
        <v>212</v>
      </c>
      <c r="I32" s="23">
        <v>141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6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</f>
        <v>0</v>
      </c>
      <c r="AP32" s="33">
        <f>J32*(1-0)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240</v>
      </c>
      <c r="AZ32" s="36" t="s">
        <v>258</v>
      </c>
      <c r="BA32" s="32" t="s">
        <v>263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268</v>
      </c>
      <c r="BL32" s="33">
        <v>712</v>
      </c>
    </row>
    <row r="33" spans="1:14" ht="12.75">
      <c r="A33" s="6"/>
      <c r="B33" s="16" t="s">
        <v>72</v>
      </c>
      <c r="C33" s="92" t="s">
        <v>146</v>
      </c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6"/>
    </row>
    <row r="34" spans="1:64" ht="12.75">
      <c r="A34" s="4" t="s">
        <v>20</v>
      </c>
      <c r="B34" s="14" t="s">
        <v>76</v>
      </c>
      <c r="C34" s="90" t="s">
        <v>148</v>
      </c>
      <c r="D34" s="91"/>
      <c r="E34" s="91"/>
      <c r="F34" s="91"/>
      <c r="G34" s="91"/>
      <c r="H34" s="14" t="s">
        <v>212</v>
      </c>
      <c r="I34" s="23">
        <v>779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6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J34*0.0575391001436862</f>
        <v>0</v>
      </c>
      <c r="AP34" s="33">
        <f>J34*(1-0.0575391001436862)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240</v>
      </c>
      <c r="AZ34" s="36" t="s">
        <v>258</v>
      </c>
      <c r="BA34" s="32" t="s">
        <v>263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268</v>
      </c>
      <c r="BL34" s="33">
        <v>712</v>
      </c>
    </row>
    <row r="35" spans="1:64" ht="12.75">
      <c r="A35" s="4" t="s">
        <v>21</v>
      </c>
      <c r="B35" s="14" t="s">
        <v>77</v>
      </c>
      <c r="C35" s="90" t="s">
        <v>149</v>
      </c>
      <c r="D35" s="91"/>
      <c r="E35" s="91"/>
      <c r="F35" s="91"/>
      <c r="G35" s="91"/>
      <c r="H35" s="14" t="s">
        <v>211</v>
      </c>
      <c r="I35" s="23">
        <v>5000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6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J35*0.601665510062457</f>
        <v>0</v>
      </c>
      <c r="AP35" s="33">
        <f>J35*(1-0.601665510062457)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240</v>
      </c>
      <c r="AZ35" s="36" t="s">
        <v>258</v>
      </c>
      <c r="BA35" s="32" t="s">
        <v>263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268</v>
      </c>
      <c r="BL35" s="33">
        <v>712</v>
      </c>
    </row>
    <row r="36" spans="1:14" ht="12.75">
      <c r="A36" s="6"/>
      <c r="B36" s="16" t="s">
        <v>72</v>
      </c>
      <c r="C36" s="92" t="s">
        <v>150</v>
      </c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6"/>
    </row>
    <row r="37" spans="1:64" ht="12.75">
      <c r="A37" s="4" t="s">
        <v>22</v>
      </c>
      <c r="B37" s="14" t="s">
        <v>78</v>
      </c>
      <c r="C37" s="90" t="s">
        <v>151</v>
      </c>
      <c r="D37" s="91"/>
      <c r="E37" s="91"/>
      <c r="F37" s="91"/>
      <c r="G37" s="91"/>
      <c r="H37" s="14" t="s">
        <v>212</v>
      </c>
      <c r="I37" s="23">
        <v>80.6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6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J37*0.474928720775518</f>
        <v>0</v>
      </c>
      <c r="AP37" s="33">
        <f>J37*(1-0.474928720775518)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240</v>
      </c>
      <c r="AZ37" s="36" t="s">
        <v>258</v>
      </c>
      <c r="BA37" s="32" t="s">
        <v>263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268</v>
      </c>
      <c r="BL37" s="33">
        <v>712</v>
      </c>
    </row>
    <row r="38" spans="1:14" ht="12.75">
      <c r="A38" s="6"/>
      <c r="B38" s="16" t="s">
        <v>72</v>
      </c>
      <c r="C38" s="92" t="s">
        <v>152</v>
      </c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6"/>
    </row>
    <row r="39" spans="1:47" ht="12.75">
      <c r="A39" s="5"/>
      <c r="B39" s="15" t="s">
        <v>79</v>
      </c>
      <c r="C39" s="95" t="s">
        <v>153</v>
      </c>
      <c r="D39" s="96"/>
      <c r="E39" s="96"/>
      <c r="F39" s="96"/>
      <c r="G39" s="96"/>
      <c r="H39" s="21" t="s">
        <v>6</v>
      </c>
      <c r="I39" s="21" t="s">
        <v>6</v>
      </c>
      <c r="J39" s="21" t="s">
        <v>6</v>
      </c>
      <c r="K39" s="39">
        <f>SUM(K40:K44)</f>
        <v>0</v>
      </c>
      <c r="L39" s="39">
        <f>SUM(L40:L44)</f>
        <v>0</v>
      </c>
      <c r="M39" s="42">
        <f>SUM(M40:M44)</f>
        <v>0</v>
      </c>
      <c r="N39" s="6"/>
      <c r="AI39" s="32"/>
      <c r="AS39" s="39">
        <f>SUM(AJ40:AJ44)</f>
        <v>0</v>
      </c>
      <c r="AT39" s="39">
        <f>SUM(AK40:AK44)</f>
        <v>0</v>
      </c>
      <c r="AU39" s="39">
        <f>SUM(AL40:AL44)</f>
        <v>0</v>
      </c>
    </row>
    <row r="40" spans="1:64" ht="12.75">
      <c r="A40" s="4" t="s">
        <v>23</v>
      </c>
      <c r="B40" s="14" t="s">
        <v>80</v>
      </c>
      <c r="C40" s="90" t="s">
        <v>154</v>
      </c>
      <c r="D40" s="91"/>
      <c r="E40" s="91"/>
      <c r="F40" s="91"/>
      <c r="G40" s="91"/>
      <c r="H40" s="14" t="s">
        <v>212</v>
      </c>
      <c r="I40" s="23">
        <v>779</v>
      </c>
      <c r="J40" s="23">
        <v>0</v>
      </c>
      <c r="K40" s="23">
        <f>I40*AO40</f>
        <v>0</v>
      </c>
      <c r="L40" s="23">
        <f>I40*AP40</f>
        <v>0</v>
      </c>
      <c r="M40" s="41">
        <f>I40*J40</f>
        <v>0</v>
      </c>
      <c r="N40" s="6"/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32"/>
      <c r="AJ40" s="23">
        <f>IF(AN40=0,M40,0)</f>
        <v>0</v>
      </c>
      <c r="AK40" s="23">
        <f>IF(AN40=15,M40,0)</f>
        <v>0</v>
      </c>
      <c r="AL40" s="23">
        <f>IF(AN40=21,M40,0)</f>
        <v>0</v>
      </c>
      <c r="AN40" s="33">
        <v>0</v>
      </c>
      <c r="AO40" s="33">
        <f>J40*0.0670454545454545</f>
        <v>0</v>
      </c>
      <c r="AP40" s="33">
        <f>J40*(1-0.0670454545454545)</f>
        <v>0</v>
      </c>
      <c r="AQ40" s="34" t="s">
        <v>13</v>
      </c>
      <c r="AV40" s="33">
        <f>AW40+AX40</f>
        <v>0</v>
      </c>
      <c r="AW40" s="33">
        <f>I40*AO40</f>
        <v>0</v>
      </c>
      <c r="AX40" s="33">
        <f>I40*AP40</f>
        <v>0</v>
      </c>
      <c r="AY40" s="36" t="s">
        <v>241</v>
      </c>
      <c r="AZ40" s="36" t="s">
        <v>258</v>
      </c>
      <c r="BA40" s="32" t="s">
        <v>263</v>
      </c>
      <c r="BC40" s="33">
        <f>AW40+AX40</f>
        <v>0</v>
      </c>
      <c r="BD40" s="33">
        <f>J40/(100-BE40)*100</f>
        <v>0</v>
      </c>
      <c r="BE40" s="33">
        <v>0</v>
      </c>
      <c r="BF40" s="33">
        <f>40</f>
        <v>40</v>
      </c>
      <c r="BH40" s="23">
        <f>I40*AO40</f>
        <v>0</v>
      </c>
      <c r="BI40" s="23">
        <f>I40*AP40</f>
        <v>0</v>
      </c>
      <c r="BJ40" s="23">
        <f>I40*J40</f>
        <v>0</v>
      </c>
      <c r="BK40" s="23" t="s">
        <v>268</v>
      </c>
      <c r="BL40" s="33">
        <v>713</v>
      </c>
    </row>
    <row r="41" spans="1:14" ht="25.5" customHeight="1">
      <c r="A41" s="6"/>
      <c r="B41" s="16" t="s">
        <v>72</v>
      </c>
      <c r="C41" s="92" t="s">
        <v>155</v>
      </c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6"/>
    </row>
    <row r="42" spans="1:64" ht="12.75">
      <c r="A42" s="4" t="s">
        <v>24</v>
      </c>
      <c r="B42" s="14" t="s">
        <v>81</v>
      </c>
      <c r="C42" s="90" t="s">
        <v>156</v>
      </c>
      <c r="D42" s="91"/>
      <c r="E42" s="91"/>
      <c r="F42" s="91"/>
      <c r="G42" s="91"/>
      <c r="H42" s="14" t="s">
        <v>212</v>
      </c>
      <c r="I42" s="23">
        <v>32</v>
      </c>
      <c r="J42" s="23">
        <v>0</v>
      </c>
      <c r="K42" s="23">
        <f>I42*AO42</f>
        <v>0</v>
      </c>
      <c r="L42" s="23">
        <f>I42*AP42</f>
        <v>0</v>
      </c>
      <c r="M42" s="41">
        <f>I42*J42</f>
        <v>0</v>
      </c>
      <c r="N42" s="6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32"/>
      <c r="AJ42" s="23">
        <f>IF(AN42=0,M42,0)</f>
        <v>0</v>
      </c>
      <c r="AK42" s="23">
        <f>IF(AN42=15,M42,0)</f>
        <v>0</v>
      </c>
      <c r="AL42" s="23">
        <f>IF(AN42=21,M42,0)</f>
        <v>0</v>
      </c>
      <c r="AN42" s="33">
        <v>0</v>
      </c>
      <c r="AO42" s="33">
        <f>J42*0.605844870906165</f>
        <v>0</v>
      </c>
      <c r="AP42" s="33">
        <f>J42*(1-0.605844870906165)</f>
        <v>0</v>
      </c>
      <c r="AQ42" s="34" t="s">
        <v>13</v>
      </c>
      <c r="AV42" s="33">
        <f>AW42+AX42</f>
        <v>0</v>
      </c>
      <c r="AW42" s="33">
        <f>I42*AO42</f>
        <v>0</v>
      </c>
      <c r="AX42" s="33">
        <f>I42*AP42</f>
        <v>0</v>
      </c>
      <c r="AY42" s="36" t="s">
        <v>241</v>
      </c>
      <c r="AZ42" s="36" t="s">
        <v>258</v>
      </c>
      <c r="BA42" s="32" t="s">
        <v>263</v>
      </c>
      <c r="BC42" s="33">
        <f>AW42+AX42</f>
        <v>0</v>
      </c>
      <c r="BD42" s="33">
        <f>J42/(100-BE42)*100</f>
        <v>0</v>
      </c>
      <c r="BE42" s="33">
        <v>0</v>
      </c>
      <c r="BF42" s="33">
        <f>42</f>
        <v>42</v>
      </c>
      <c r="BH42" s="23">
        <f>I42*AO42</f>
        <v>0</v>
      </c>
      <c r="BI42" s="23">
        <f>I42*AP42</f>
        <v>0</v>
      </c>
      <c r="BJ42" s="23">
        <f>I42*J42</f>
        <v>0</v>
      </c>
      <c r="BK42" s="23" t="s">
        <v>268</v>
      </c>
      <c r="BL42" s="33">
        <v>713</v>
      </c>
    </row>
    <row r="43" spans="1:14" ht="12.75">
      <c r="A43" s="6"/>
      <c r="B43" s="16" t="s">
        <v>72</v>
      </c>
      <c r="C43" s="92" t="s">
        <v>157</v>
      </c>
      <c r="D43" s="93"/>
      <c r="E43" s="93"/>
      <c r="F43" s="93"/>
      <c r="G43" s="93"/>
      <c r="H43" s="93"/>
      <c r="I43" s="93"/>
      <c r="J43" s="93"/>
      <c r="K43" s="93"/>
      <c r="L43" s="93"/>
      <c r="M43" s="94"/>
      <c r="N43" s="6"/>
    </row>
    <row r="44" spans="1:64" ht="12.75">
      <c r="A44" s="4" t="s">
        <v>25</v>
      </c>
      <c r="B44" s="14" t="s">
        <v>82</v>
      </c>
      <c r="C44" s="90" t="s">
        <v>158</v>
      </c>
      <c r="D44" s="91"/>
      <c r="E44" s="91"/>
      <c r="F44" s="91"/>
      <c r="G44" s="91"/>
      <c r="H44" s="14" t="s">
        <v>213</v>
      </c>
      <c r="I44" s="23">
        <v>125</v>
      </c>
      <c r="J44" s="23">
        <v>0</v>
      </c>
      <c r="K44" s="23">
        <f>I44*AO44</f>
        <v>0</v>
      </c>
      <c r="L44" s="23">
        <f>I44*AP44</f>
        <v>0</v>
      </c>
      <c r="M44" s="41">
        <f>I44*J44</f>
        <v>0</v>
      </c>
      <c r="N44" s="6"/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32"/>
      <c r="AJ44" s="23">
        <f>IF(AN44=0,M44,0)</f>
        <v>0</v>
      </c>
      <c r="AK44" s="23">
        <f>IF(AN44=15,M44,0)</f>
        <v>0</v>
      </c>
      <c r="AL44" s="23">
        <f>IF(AN44=21,M44,0)</f>
        <v>0</v>
      </c>
      <c r="AN44" s="33">
        <v>0</v>
      </c>
      <c r="AO44" s="33">
        <f>J44*0.434343434343434</f>
        <v>0</v>
      </c>
      <c r="AP44" s="33">
        <f>J44*(1-0.434343434343434)</f>
        <v>0</v>
      </c>
      <c r="AQ44" s="34" t="s">
        <v>13</v>
      </c>
      <c r="AV44" s="33">
        <f>AW44+AX44</f>
        <v>0</v>
      </c>
      <c r="AW44" s="33">
        <f>I44*AO44</f>
        <v>0</v>
      </c>
      <c r="AX44" s="33">
        <f>I44*AP44</f>
        <v>0</v>
      </c>
      <c r="AY44" s="36" t="s">
        <v>241</v>
      </c>
      <c r="AZ44" s="36" t="s">
        <v>258</v>
      </c>
      <c r="BA44" s="32" t="s">
        <v>263</v>
      </c>
      <c r="BC44" s="33">
        <f>AW44+AX44</f>
        <v>0</v>
      </c>
      <c r="BD44" s="33">
        <f>J44/(100-BE44)*100</f>
        <v>0</v>
      </c>
      <c r="BE44" s="33">
        <v>0</v>
      </c>
      <c r="BF44" s="33">
        <f>44</f>
        <v>44</v>
      </c>
      <c r="BH44" s="23">
        <f>I44*AO44</f>
        <v>0</v>
      </c>
      <c r="BI44" s="23">
        <f>I44*AP44</f>
        <v>0</v>
      </c>
      <c r="BJ44" s="23">
        <f>I44*J44</f>
        <v>0</v>
      </c>
      <c r="BK44" s="23" t="s">
        <v>268</v>
      </c>
      <c r="BL44" s="33">
        <v>713</v>
      </c>
    </row>
    <row r="45" spans="1:14" ht="12.75">
      <c r="A45" s="6"/>
      <c r="B45" s="16" t="s">
        <v>72</v>
      </c>
      <c r="C45" s="92" t="s">
        <v>159</v>
      </c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6"/>
    </row>
    <row r="46" spans="1:47" ht="12.75">
      <c r="A46" s="5"/>
      <c r="B46" s="15" t="s">
        <v>83</v>
      </c>
      <c r="C46" s="95" t="s">
        <v>160</v>
      </c>
      <c r="D46" s="96"/>
      <c r="E46" s="96"/>
      <c r="F46" s="96"/>
      <c r="G46" s="96"/>
      <c r="H46" s="21" t="s">
        <v>6</v>
      </c>
      <c r="I46" s="21" t="s">
        <v>6</v>
      </c>
      <c r="J46" s="21" t="s">
        <v>6</v>
      </c>
      <c r="K46" s="39">
        <f>SUM(K47:K48)</f>
        <v>0</v>
      </c>
      <c r="L46" s="39">
        <f>SUM(L47:L48)</f>
        <v>0</v>
      </c>
      <c r="M46" s="42">
        <f>SUM(M47:M48)</f>
        <v>0</v>
      </c>
      <c r="N46" s="6"/>
      <c r="AI46" s="32"/>
      <c r="AS46" s="39">
        <f>SUM(AJ47:AJ48)</f>
        <v>0</v>
      </c>
      <c r="AT46" s="39">
        <f>SUM(AK47:AK48)</f>
        <v>0</v>
      </c>
      <c r="AU46" s="39">
        <f>SUM(AL47:AL48)</f>
        <v>0</v>
      </c>
    </row>
    <row r="47" spans="1:64" ht="12.75">
      <c r="A47" s="80" t="s">
        <v>26</v>
      </c>
      <c r="B47" s="80" t="s">
        <v>84</v>
      </c>
      <c r="C47" s="97" t="s">
        <v>161</v>
      </c>
      <c r="D47" s="91"/>
      <c r="E47" s="91"/>
      <c r="F47" s="91"/>
      <c r="G47" s="98"/>
      <c r="H47" s="80" t="s">
        <v>211</v>
      </c>
      <c r="I47" s="81">
        <v>8</v>
      </c>
      <c r="J47" s="81">
        <v>0</v>
      </c>
      <c r="K47" s="81">
        <f>I47*AO47</f>
        <v>0</v>
      </c>
      <c r="L47" s="81">
        <f>I47*AP47</f>
        <v>0</v>
      </c>
      <c r="M47" s="76">
        <f>I47*J47</f>
        <v>0</v>
      </c>
      <c r="N47" s="79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13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242</v>
      </c>
      <c r="AZ47" s="36" t="s">
        <v>259</v>
      </c>
      <c r="BA47" s="32" t="s">
        <v>263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268</v>
      </c>
      <c r="BL47" s="33">
        <v>728</v>
      </c>
    </row>
    <row r="48" spans="1:64" ht="12.75">
      <c r="A48" s="75" t="s">
        <v>27</v>
      </c>
      <c r="B48" s="75" t="s">
        <v>85</v>
      </c>
      <c r="C48" s="99" t="s">
        <v>162</v>
      </c>
      <c r="D48" s="91"/>
      <c r="E48" s="91"/>
      <c r="F48" s="91"/>
      <c r="G48" s="100"/>
      <c r="H48" s="75" t="s">
        <v>211</v>
      </c>
      <c r="I48" s="78">
        <v>8</v>
      </c>
      <c r="J48" s="78">
        <v>0</v>
      </c>
      <c r="K48" s="78">
        <f>I48*AO48</f>
        <v>0</v>
      </c>
      <c r="L48" s="78">
        <f>I48*AP48</f>
        <v>0</v>
      </c>
      <c r="M48" s="77">
        <f>I48*J48</f>
        <v>0</v>
      </c>
      <c r="N48" s="79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13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242</v>
      </c>
      <c r="AZ48" s="36" t="s">
        <v>259</v>
      </c>
      <c r="BA48" s="32" t="s">
        <v>263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268</v>
      </c>
      <c r="BL48" s="33">
        <v>728</v>
      </c>
    </row>
    <row r="49" spans="1:47" ht="12.75">
      <c r="A49" s="5"/>
      <c r="B49" s="15" t="s">
        <v>86</v>
      </c>
      <c r="C49" s="95" t="s">
        <v>163</v>
      </c>
      <c r="D49" s="96"/>
      <c r="E49" s="96"/>
      <c r="F49" s="96"/>
      <c r="G49" s="96"/>
      <c r="H49" s="21" t="s">
        <v>6</v>
      </c>
      <c r="I49" s="21" t="s">
        <v>6</v>
      </c>
      <c r="J49" s="21" t="s">
        <v>6</v>
      </c>
      <c r="K49" s="39">
        <f>SUM(K50:K50)</f>
        <v>0</v>
      </c>
      <c r="L49" s="39">
        <f>SUM(L50:L50)</f>
        <v>0</v>
      </c>
      <c r="M49" s="42">
        <f>SUM(M50:M50)</f>
        <v>0</v>
      </c>
      <c r="N49" s="6"/>
      <c r="AI49" s="32"/>
      <c r="AS49" s="39">
        <f>SUM(AJ50:AJ50)</f>
        <v>0</v>
      </c>
      <c r="AT49" s="39">
        <f>SUM(AK50:AK50)</f>
        <v>0</v>
      </c>
      <c r="AU49" s="39">
        <f>SUM(AL50:AL50)</f>
        <v>0</v>
      </c>
    </row>
    <row r="50" spans="1:64" ht="12.75">
      <c r="A50" s="4" t="s">
        <v>28</v>
      </c>
      <c r="B50" s="14" t="s">
        <v>87</v>
      </c>
      <c r="C50" s="90" t="s">
        <v>164</v>
      </c>
      <c r="D50" s="91"/>
      <c r="E50" s="91"/>
      <c r="F50" s="91"/>
      <c r="G50" s="91"/>
      <c r="H50" s="14" t="s">
        <v>214</v>
      </c>
      <c r="I50" s="23">
        <v>1</v>
      </c>
      <c r="J50" s="23">
        <v>0</v>
      </c>
      <c r="K50" s="23">
        <f>I50*AO50</f>
        <v>0</v>
      </c>
      <c r="L50" s="23">
        <f>I50*AP50</f>
        <v>0</v>
      </c>
      <c r="M50" s="41">
        <f>I50*J50</f>
        <v>0</v>
      </c>
      <c r="N50" s="6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3">
        <f>IF(AN50=0,M50,0)</f>
        <v>0</v>
      </c>
      <c r="AK50" s="23">
        <f>IF(AN50=15,M50,0)</f>
        <v>0</v>
      </c>
      <c r="AL50" s="23">
        <f>IF(AN50=21,M50,0)</f>
        <v>0</v>
      </c>
      <c r="AN50" s="33">
        <v>0</v>
      </c>
      <c r="AO50" s="33">
        <f>J50*0.583871109355108</f>
        <v>0</v>
      </c>
      <c r="AP50" s="33">
        <f>J50*(1-0.583871109355108)</f>
        <v>0</v>
      </c>
      <c r="AQ50" s="34" t="s">
        <v>13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243</v>
      </c>
      <c r="AZ50" s="36" t="s">
        <v>243</v>
      </c>
      <c r="BA50" s="32" t="s">
        <v>263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3">
        <f>I50*AO50</f>
        <v>0</v>
      </c>
      <c r="BI50" s="23">
        <f>I50*AP50</f>
        <v>0</v>
      </c>
      <c r="BJ50" s="23">
        <f>I50*J50</f>
        <v>0</v>
      </c>
      <c r="BK50" s="23" t="s">
        <v>268</v>
      </c>
      <c r="BL50" s="33">
        <v>74</v>
      </c>
    </row>
    <row r="51" spans="1:14" ht="25.5" customHeight="1">
      <c r="A51" s="6"/>
      <c r="B51" s="16" t="s">
        <v>72</v>
      </c>
      <c r="C51" s="92" t="s">
        <v>165</v>
      </c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6"/>
    </row>
    <row r="52" spans="1:47" ht="12.75">
      <c r="A52" s="5"/>
      <c r="B52" s="15" t="s">
        <v>88</v>
      </c>
      <c r="C52" s="95" t="s">
        <v>166</v>
      </c>
      <c r="D52" s="96"/>
      <c r="E52" s="96"/>
      <c r="F52" s="96"/>
      <c r="G52" s="96"/>
      <c r="H52" s="21" t="s">
        <v>6</v>
      </c>
      <c r="I52" s="21" t="s">
        <v>6</v>
      </c>
      <c r="J52" s="21" t="s">
        <v>6</v>
      </c>
      <c r="K52" s="39">
        <f>SUM(K53:K53)</f>
        <v>0</v>
      </c>
      <c r="L52" s="39">
        <f>SUM(L53:L53)</f>
        <v>0</v>
      </c>
      <c r="M52" s="42">
        <f>SUM(M53:M53)</f>
        <v>0</v>
      </c>
      <c r="N52" s="6"/>
      <c r="AI52" s="32"/>
      <c r="AS52" s="39">
        <f>SUM(AJ53:AJ53)</f>
        <v>0</v>
      </c>
      <c r="AT52" s="39">
        <f>SUM(AK53:AK53)</f>
        <v>0</v>
      </c>
      <c r="AU52" s="39">
        <f>SUM(AL53:AL53)</f>
        <v>0</v>
      </c>
    </row>
    <row r="53" spans="1:64" ht="12.75">
      <c r="A53" s="4" t="s">
        <v>29</v>
      </c>
      <c r="B53" s="14" t="s">
        <v>89</v>
      </c>
      <c r="C53" s="90" t="s">
        <v>167</v>
      </c>
      <c r="D53" s="91"/>
      <c r="E53" s="91"/>
      <c r="F53" s="91"/>
      <c r="G53" s="91"/>
      <c r="H53" s="14" t="s">
        <v>213</v>
      </c>
      <c r="I53" s="23">
        <v>125</v>
      </c>
      <c r="J53" s="23">
        <v>0</v>
      </c>
      <c r="K53" s="23">
        <f>I53*AO53</f>
        <v>0</v>
      </c>
      <c r="L53" s="23">
        <f>I53*AP53</f>
        <v>0</v>
      </c>
      <c r="M53" s="41">
        <f>I53*J53</f>
        <v>0</v>
      </c>
      <c r="N53" s="6"/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32"/>
      <c r="AJ53" s="23">
        <f>IF(AN53=0,M53,0)</f>
        <v>0</v>
      </c>
      <c r="AK53" s="23">
        <f>IF(AN53=15,M53,0)</f>
        <v>0</v>
      </c>
      <c r="AL53" s="23">
        <f>IF(AN53=21,M53,0)</f>
        <v>0</v>
      </c>
      <c r="AN53" s="33">
        <v>0</v>
      </c>
      <c r="AO53" s="33">
        <f>J53*0.530931453311437</f>
        <v>0</v>
      </c>
      <c r="AP53" s="33">
        <f>J53*(1-0.530931453311437)</f>
        <v>0</v>
      </c>
      <c r="AQ53" s="34" t="s">
        <v>13</v>
      </c>
      <c r="AV53" s="33">
        <f>AW53+AX53</f>
        <v>0</v>
      </c>
      <c r="AW53" s="33">
        <f>I53*AO53</f>
        <v>0</v>
      </c>
      <c r="AX53" s="33">
        <f>I53*AP53</f>
        <v>0</v>
      </c>
      <c r="AY53" s="36" t="s">
        <v>244</v>
      </c>
      <c r="AZ53" s="36" t="s">
        <v>260</v>
      </c>
      <c r="BA53" s="32" t="s">
        <v>263</v>
      </c>
      <c r="BC53" s="33">
        <f>AW53+AX53</f>
        <v>0</v>
      </c>
      <c r="BD53" s="33">
        <f>J53/(100-BE53)*100</f>
        <v>0</v>
      </c>
      <c r="BE53" s="33">
        <v>0</v>
      </c>
      <c r="BF53" s="33">
        <f>53</f>
        <v>53</v>
      </c>
      <c r="BH53" s="23">
        <f>I53*AO53</f>
        <v>0</v>
      </c>
      <c r="BI53" s="23">
        <f>I53*AP53</f>
        <v>0</v>
      </c>
      <c r="BJ53" s="23">
        <f>I53*J53</f>
        <v>0</v>
      </c>
      <c r="BK53" s="23" t="s">
        <v>268</v>
      </c>
      <c r="BL53" s="33">
        <v>762</v>
      </c>
    </row>
    <row r="54" spans="1:47" ht="12.75">
      <c r="A54" s="5"/>
      <c r="B54" s="15" t="s">
        <v>90</v>
      </c>
      <c r="C54" s="95" t="s">
        <v>168</v>
      </c>
      <c r="D54" s="96"/>
      <c r="E54" s="96"/>
      <c r="F54" s="96"/>
      <c r="G54" s="96"/>
      <c r="H54" s="21" t="s">
        <v>6</v>
      </c>
      <c r="I54" s="21" t="s">
        <v>6</v>
      </c>
      <c r="J54" s="21" t="s">
        <v>6</v>
      </c>
      <c r="K54" s="39">
        <f>SUM(K55:K63)</f>
        <v>0</v>
      </c>
      <c r="L54" s="39">
        <f>SUM(L55:L63)</f>
        <v>0</v>
      </c>
      <c r="M54" s="42">
        <f>SUM(M55:M63)</f>
        <v>0</v>
      </c>
      <c r="N54" s="6"/>
      <c r="AI54" s="32"/>
      <c r="AS54" s="39">
        <f>SUM(AJ55:AJ63)</f>
        <v>0</v>
      </c>
      <c r="AT54" s="39">
        <f>SUM(AK55:AK63)</f>
        <v>0</v>
      </c>
      <c r="AU54" s="39">
        <f>SUM(AL55:AL63)</f>
        <v>0</v>
      </c>
    </row>
    <row r="55" spans="1:64" ht="12.75">
      <c r="A55" s="4" t="s">
        <v>30</v>
      </c>
      <c r="B55" s="14" t="s">
        <v>91</v>
      </c>
      <c r="C55" s="90" t="s">
        <v>169</v>
      </c>
      <c r="D55" s="91"/>
      <c r="E55" s="91"/>
      <c r="F55" s="91"/>
      <c r="G55" s="91"/>
      <c r="H55" s="14" t="s">
        <v>214</v>
      </c>
      <c r="I55" s="23">
        <v>1</v>
      </c>
      <c r="J55" s="23">
        <v>0</v>
      </c>
      <c r="K55" s="23">
        <f aca="true" t="shared" si="0" ref="K55:K63">I55*AO55</f>
        <v>0</v>
      </c>
      <c r="L55" s="23">
        <f aca="true" t="shared" si="1" ref="L55:L63">I55*AP55</f>
        <v>0</v>
      </c>
      <c r="M55" s="41">
        <f aca="true" t="shared" si="2" ref="M55:M63">I55*J55</f>
        <v>0</v>
      </c>
      <c r="N55" s="6"/>
      <c r="Z55" s="33">
        <f aca="true" t="shared" si="3" ref="Z55:Z63">IF(AQ55="5",BJ55,0)</f>
        <v>0</v>
      </c>
      <c r="AB55" s="33">
        <f aca="true" t="shared" si="4" ref="AB55:AB63">IF(AQ55="1",BH55,0)</f>
        <v>0</v>
      </c>
      <c r="AC55" s="33">
        <f aca="true" t="shared" si="5" ref="AC55:AC63">IF(AQ55="1",BI55,0)</f>
        <v>0</v>
      </c>
      <c r="AD55" s="33">
        <f aca="true" t="shared" si="6" ref="AD55:AD63">IF(AQ55="7",BH55,0)</f>
        <v>0</v>
      </c>
      <c r="AE55" s="33">
        <f aca="true" t="shared" si="7" ref="AE55:AE63">IF(AQ55="7",BI55,0)</f>
        <v>0</v>
      </c>
      <c r="AF55" s="33">
        <f aca="true" t="shared" si="8" ref="AF55:AF63">IF(AQ55="2",BH55,0)</f>
        <v>0</v>
      </c>
      <c r="AG55" s="33">
        <f aca="true" t="shared" si="9" ref="AG55:AG63">IF(AQ55="2",BI55,0)</f>
        <v>0</v>
      </c>
      <c r="AH55" s="33">
        <f aca="true" t="shared" si="10" ref="AH55:AH63">IF(AQ55="0",BJ55,0)</f>
        <v>0</v>
      </c>
      <c r="AI55" s="32"/>
      <c r="AJ55" s="23">
        <f aca="true" t="shared" si="11" ref="AJ55:AJ63">IF(AN55=0,M55,0)</f>
        <v>0</v>
      </c>
      <c r="AK55" s="23">
        <f aca="true" t="shared" si="12" ref="AK55:AK63">IF(AN55=15,M55,0)</f>
        <v>0</v>
      </c>
      <c r="AL55" s="23">
        <f aca="true" t="shared" si="13" ref="AL55:AL63">IF(AN55=21,M55,0)</f>
        <v>0</v>
      </c>
      <c r="AN55" s="33">
        <v>0</v>
      </c>
      <c r="AO55" s="33">
        <f>J55*0</f>
        <v>0</v>
      </c>
      <c r="AP55" s="33">
        <f>J55*(1-0)</f>
        <v>0</v>
      </c>
      <c r="AQ55" s="34" t="s">
        <v>13</v>
      </c>
      <c r="AV55" s="33">
        <f aca="true" t="shared" si="14" ref="AV55:AV63">AW55+AX55</f>
        <v>0</v>
      </c>
      <c r="AW55" s="33">
        <f aca="true" t="shared" si="15" ref="AW55:AW63">I55*AO55</f>
        <v>0</v>
      </c>
      <c r="AX55" s="33">
        <f aca="true" t="shared" si="16" ref="AX55:AX63">I55*AP55</f>
        <v>0</v>
      </c>
      <c r="AY55" s="36" t="s">
        <v>245</v>
      </c>
      <c r="AZ55" s="36" t="s">
        <v>260</v>
      </c>
      <c r="BA55" s="32" t="s">
        <v>263</v>
      </c>
      <c r="BC55" s="33">
        <f aca="true" t="shared" si="17" ref="BC55:BC63">AW55+AX55</f>
        <v>0</v>
      </c>
      <c r="BD55" s="33">
        <f aca="true" t="shared" si="18" ref="BD55:BD63">J55/(100-BE55)*100</f>
        <v>0</v>
      </c>
      <c r="BE55" s="33">
        <v>0</v>
      </c>
      <c r="BF55" s="33">
        <f>55</f>
        <v>55</v>
      </c>
      <c r="BH55" s="23">
        <f aca="true" t="shared" si="19" ref="BH55:BH63">I55*AO55</f>
        <v>0</v>
      </c>
      <c r="BI55" s="23">
        <f aca="true" t="shared" si="20" ref="BI55:BI63">I55*AP55</f>
        <v>0</v>
      </c>
      <c r="BJ55" s="23">
        <f aca="true" t="shared" si="21" ref="BJ55:BJ63">I55*J55</f>
        <v>0</v>
      </c>
      <c r="BK55" s="23" t="s">
        <v>268</v>
      </c>
      <c r="BL55" s="33">
        <v>764</v>
      </c>
    </row>
    <row r="56" spans="1:64" ht="12.75">
      <c r="A56" s="4" t="s">
        <v>31</v>
      </c>
      <c r="B56" s="14" t="s">
        <v>92</v>
      </c>
      <c r="C56" s="90" t="s">
        <v>170</v>
      </c>
      <c r="D56" s="91"/>
      <c r="E56" s="91"/>
      <c r="F56" s="91"/>
      <c r="G56" s="91"/>
      <c r="H56" s="14" t="s">
        <v>213</v>
      </c>
      <c r="I56" s="23">
        <v>141</v>
      </c>
      <c r="J56" s="23">
        <v>0</v>
      </c>
      <c r="K56" s="23">
        <f t="shared" si="0"/>
        <v>0</v>
      </c>
      <c r="L56" s="23">
        <f t="shared" si="1"/>
        <v>0</v>
      </c>
      <c r="M56" s="41">
        <f t="shared" si="2"/>
        <v>0</v>
      </c>
      <c r="N56" s="6"/>
      <c r="Z56" s="33">
        <f t="shared" si="3"/>
        <v>0</v>
      </c>
      <c r="AB56" s="33">
        <f t="shared" si="4"/>
        <v>0</v>
      </c>
      <c r="AC56" s="33">
        <f t="shared" si="5"/>
        <v>0</v>
      </c>
      <c r="AD56" s="33">
        <f t="shared" si="6"/>
        <v>0</v>
      </c>
      <c r="AE56" s="33">
        <f t="shared" si="7"/>
        <v>0</v>
      </c>
      <c r="AF56" s="33">
        <f t="shared" si="8"/>
        <v>0</v>
      </c>
      <c r="AG56" s="33">
        <f t="shared" si="9"/>
        <v>0</v>
      </c>
      <c r="AH56" s="33">
        <f t="shared" si="10"/>
        <v>0</v>
      </c>
      <c r="AI56" s="32"/>
      <c r="AJ56" s="23">
        <f t="shared" si="11"/>
        <v>0</v>
      </c>
      <c r="AK56" s="23">
        <f t="shared" si="12"/>
        <v>0</v>
      </c>
      <c r="AL56" s="23">
        <f t="shared" si="13"/>
        <v>0</v>
      </c>
      <c r="AN56" s="33">
        <v>0</v>
      </c>
      <c r="AO56" s="33">
        <f>J56*0.656168008781658</f>
        <v>0</v>
      </c>
      <c r="AP56" s="33">
        <f>J56*(1-0.656168008781658)</f>
        <v>0</v>
      </c>
      <c r="AQ56" s="34" t="s">
        <v>13</v>
      </c>
      <c r="AV56" s="33">
        <f t="shared" si="14"/>
        <v>0</v>
      </c>
      <c r="AW56" s="33">
        <f t="shared" si="15"/>
        <v>0</v>
      </c>
      <c r="AX56" s="33">
        <f t="shared" si="16"/>
        <v>0</v>
      </c>
      <c r="AY56" s="36" t="s">
        <v>245</v>
      </c>
      <c r="AZ56" s="36" t="s">
        <v>260</v>
      </c>
      <c r="BA56" s="32" t="s">
        <v>263</v>
      </c>
      <c r="BC56" s="33">
        <f t="shared" si="17"/>
        <v>0</v>
      </c>
      <c r="BD56" s="33">
        <f t="shared" si="18"/>
        <v>0</v>
      </c>
      <c r="BE56" s="33">
        <v>0</v>
      </c>
      <c r="BF56" s="33">
        <f>56</f>
        <v>56</v>
      </c>
      <c r="BH56" s="23">
        <f t="shared" si="19"/>
        <v>0</v>
      </c>
      <c r="BI56" s="23">
        <f t="shared" si="20"/>
        <v>0</v>
      </c>
      <c r="BJ56" s="23">
        <f t="shared" si="21"/>
        <v>0</v>
      </c>
      <c r="BK56" s="23" t="s">
        <v>268</v>
      </c>
      <c r="BL56" s="33">
        <v>764</v>
      </c>
    </row>
    <row r="57" spans="1:64" ht="12.75">
      <c r="A57" s="4" t="s">
        <v>32</v>
      </c>
      <c r="B57" s="14" t="s">
        <v>93</v>
      </c>
      <c r="C57" s="90" t="s">
        <v>171</v>
      </c>
      <c r="D57" s="91"/>
      <c r="E57" s="91"/>
      <c r="F57" s="91"/>
      <c r="G57" s="91"/>
      <c r="H57" s="14" t="s">
        <v>213</v>
      </c>
      <c r="I57" s="23">
        <v>46</v>
      </c>
      <c r="J57" s="23">
        <v>0</v>
      </c>
      <c r="K57" s="23">
        <f t="shared" si="0"/>
        <v>0</v>
      </c>
      <c r="L57" s="23">
        <f t="shared" si="1"/>
        <v>0</v>
      </c>
      <c r="M57" s="41">
        <f t="shared" si="2"/>
        <v>0</v>
      </c>
      <c r="N57" s="6"/>
      <c r="Z57" s="33">
        <f t="shared" si="3"/>
        <v>0</v>
      </c>
      <c r="AB57" s="33">
        <f t="shared" si="4"/>
        <v>0</v>
      </c>
      <c r="AC57" s="33">
        <f t="shared" si="5"/>
        <v>0</v>
      </c>
      <c r="AD57" s="33">
        <f t="shared" si="6"/>
        <v>0</v>
      </c>
      <c r="AE57" s="33">
        <f t="shared" si="7"/>
        <v>0</v>
      </c>
      <c r="AF57" s="33">
        <f t="shared" si="8"/>
        <v>0</v>
      </c>
      <c r="AG57" s="33">
        <f t="shared" si="9"/>
        <v>0</v>
      </c>
      <c r="AH57" s="33">
        <f t="shared" si="10"/>
        <v>0</v>
      </c>
      <c r="AI57" s="32"/>
      <c r="AJ57" s="23">
        <f t="shared" si="11"/>
        <v>0</v>
      </c>
      <c r="AK57" s="23">
        <f t="shared" si="12"/>
        <v>0</v>
      </c>
      <c r="AL57" s="23">
        <f t="shared" si="13"/>
        <v>0</v>
      </c>
      <c r="AN57" s="33">
        <v>0</v>
      </c>
      <c r="AO57" s="33">
        <f>J57*0.470202191874557</f>
        <v>0</v>
      </c>
      <c r="AP57" s="33">
        <f>J57*(1-0.470202191874557)</f>
        <v>0</v>
      </c>
      <c r="AQ57" s="34" t="s">
        <v>13</v>
      </c>
      <c r="AV57" s="33">
        <f t="shared" si="14"/>
        <v>0</v>
      </c>
      <c r="AW57" s="33">
        <f t="shared" si="15"/>
        <v>0</v>
      </c>
      <c r="AX57" s="33">
        <f t="shared" si="16"/>
        <v>0</v>
      </c>
      <c r="AY57" s="36" t="s">
        <v>245</v>
      </c>
      <c r="AZ57" s="36" t="s">
        <v>260</v>
      </c>
      <c r="BA57" s="32" t="s">
        <v>263</v>
      </c>
      <c r="BC57" s="33">
        <f t="shared" si="17"/>
        <v>0</v>
      </c>
      <c r="BD57" s="33">
        <f t="shared" si="18"/>
        <v>0</v>
      </c>
      <c r="BE57" s="33">
        <v>0</v>
      </c>
      <c r="BF57" s="33">
        <f>57</f>
        <v>57</v>
      </c>
      <c r="BH57" s="23">
        <f t="shared" si="19"/>
        <v>0</v>
      </c>
      <c r="BI57" s="23">
        <f t="shared" si="20"/>
        <v>0</v>
      </c>
      <c r="BJ57" s="23">
        <f t="shared" si="21"/>
        <v>0</v>
      </c>
      <c r="BK57" s="23" t="s">
        <v>268</v>
      </c>
      <c r="BL57" s="33">
        <v>764</v>
      </c>
    </row>
    <row r="58" spans="1:64" ht="12.75">
      <c r="A58" s="4" t="s">
        <v>33</v>
      </c>
      <c r="B58" s="14" t="s">
        <v>94</v>
      </c>
      <c r="C58" s="90" t="s">
        <v>172</v>
      </c>
      <c r="D58" s="91"/>
      <c r="E58" s="91"/>
      <c r="F58" s="91"/>
      <c r="G58" s="91"/>
      <c r="H58" s="14" t="s">
        <v>213</v>
      </c>
      <c r="I58" s="23">
        <v>32</v>
      </c>
      <c r="J58" s="23">
        <v>0</v>
      </c>
      <c r="K58" s="23">
        <f t="shared" si="0"/>
        <v>0</v>
      </c>
      <c r="L58" s="23">
        <f t="shared" si="1"/>
        <v>0</v>
      </c>
      <c r="M58" s="41">
        <f t="shared" si="2"/>
        <v>0</v>
      </c>
      <c r="N58" s="6"/>
      <c r="Z58" s="33">
        <f t="shared" si="3"/>
        <v>0</v>
      </c>
      <c r="AB58" s="33">
        <f t="shared" si="4"/>
        <v>0</v>
      </c>
      <c r="AC58" s="33">
        <f t="shared" si="5"/>
        <v>0</v>
      </c>
      <c r="AD58" s="33">
        <f t="shared" si="6"/>
        <v>0</v>
      </c>
      <c r="AE58" s="33">
        <f t="shared" si="7"/>
        <v>0</v>
      </c>
      <c r="AF58" s="33">
        <f t="shared" si="8"/>
        <v>0</v>
      </c>
      <c r="AG58" s="33">
        <f t="shared" si="9"/>
        <v>0</v>
      </c>
      <c r="AH58" s="33">
        <f t="shared" si="10"/>
        <v>0</v>
      </c>
      <c r="AI58" s="32"/>
      <c r="AJ58" s="23">
        <f t="shared" si="11"/>
        <v>0</v>
      </c>
      <c r="AK58" s="23">
        <f t="shared" si="12"/>
        <v>0</v>
      </c>
      <c r="AL58" s="23">
        <f t="shared" si="13"/>
        <v>0</v>
      </c>
      <c r="AN58" s="33">
        <v>0</v>
      </c>
      <c r="AO58" s="33">
        <f>J58*0.594086572526563</f>
        <v>0</v>
      </c>
      <c r="AP58" s="33">
        <f>J58*(1-0.594086572526563)</f>
        <v>0</v>
      </c>
      <c r="AQ58" s="34" t="s">
        <v>13</v>
      </c>
      <c r="AV58" s="33">
        <f t="shared" si="14"/>
        <v>0</v>
      </c>
      <c r="AW58" s="33">
        <f t="shared" si="15"/>
        <v>0</v>
      </c>
      <c r="AX58" s="33">
        <f t="shared" si="16"/>
        <v>0</v>
      </c>
      <c r="AY58" s="36" t="s">
        <v>245</v>
      </c>
      <c r="AZ58" s="36" t="s">
        <v>260</v>
      </c>
      <c r="BA58" s="32" t="s">
        <v>263</v>
      </c>
      <c r="BC58" s="33">
        <f t="shared" si="17"/>
        <v>0</v>
      </c>
      <c r="BD58" s="33">
        <f t="shared" si="18"/>
        <v>0</v>
      </c>
      <c r="BE58" s="33">
        <v>0</v>
      </c>
      <c r="BF58" s="33">
        <f>58</f>
        <v>58</v>
      </c>
      <c r="BH58" s="23">
        <f t="shared" si="19"/>
        <v>0</v>
      </c>
      <c r="BI58" s="23">
        <f t="shared" si="20"/>
        <v>0</v>
      </c>
      <c r="BJ58" s="23">
        <f t="shared" si="21"/>
        <v>0</v>
      </c>
      <c r="BK58" s="23" t="s">
        <v>268</v>
      </c>
      <c r="BL58" s="33">
        <v>764</v>
      </c>
    </row>
    <row r="59" spans="1:64" ht="12.75">
      <c r="A59" s="4" t="s">
        <v>34</v>
      </c>
      <c r="B59" s="14" t="s">
        <v>95</v>
      </c>
      <c r="C59" s="90" t="s">
        <v>173</v>
      </c>
      <c r="D59" s="91"/>
      <c r="E59" s="91"/>
      <c r="F59" s="91"/>
      <c r="G59" s="91"/>
      <c r="H59" s="14" t="s">
        <v>213</v>
      </c>
      <c r="I59" s="23">
        <v>1</v>
      </c>
      <c r="J59" s="23">
        <v>0</v>
      </c>
      <c r="K59" s="23">
        <f t="shared" si="0"/>
        <v>0</v>
      </c>
      <c r="L59" s="23">
        <f t="shared" si="1"/>
        <v>0</v>
      </c>
      <c r="M59" s="41">
        <f t="shared" si="2"/>
        <v>0</v>
      </c>
      <c r="N59" s="6"/>
      <c r="Z59" s="33">
        <f t="shared" si="3"/>
        <v>0</v>
      </c>
      <c r="AB59" s="33">
        <f t="shared" si="4"/>
        <v>0</v>
      </c>
      <c r="AC59" s="33">
        <f t="shared" si="5"/>
        <v>0</v>
      </c>
      <c r="AD59" s="33">
        <f t="shared" si="6"/>
        <v>0</v>
      </c>
      <c r="AE59" s="33">
        <f t="shared" si="7"/>
        <v>0</v>
      </c>
      <c r="AF59" s="33">
        <f t="shared" si="8"/>
        <v>0</v>
      </c>
      <c r="AG59" s="33">
        <f t="shared" si="9"/>
        <v>0</v>
      </c>
      <c r="AH59" s="33">
        <f t="shared" si="10"/>
        <v>0</v>
      </c>
      <c r="AI59" s="32"/>
      <c r="AJ59" s="23">
        <f t="shared" si="11"/>
        <v>0</v>
      </c>
      <c r="AK59" s="23">
        <f t="shared" si="12"/>
        <v>0</v>
      </c>
      <c r="AL59" s="23">
        <f t="shared" si="13"/>
        <v>0</v>
      </c>
      <c r="AN59" s="33">
        <v>0</v>
      </c>
      <c r="AO59" s="33">
        <f>J59*0.347613912851139</f>
        <v>0</v>
      </c>
      <c r="AP59" s="33">
        <f>J59*(1-0.347613912851139)</f>
        <v>0</v>
      </c>
      <c r="AQ59" s="34" t="s">
        <v>13</v>
      </c>
      <c r="AV59" s="33">
        <f t="shared" si="14"/>
        <v>0</v>
      </c>
      <c r="AW59" s="33">
        <f t="shared" si="15"/>
        <v>0</v>
      </c>
      <c r="AX59" s="33">
        <f t="shared" si="16"/>
        <v>0</v>
      </c>
      <c r="AY59" s="36" t="s">
        <v>245</v>
      </c>
      <c r="AZ59" s="36" t="s">
        <v>260</v>
      </c>
      <c r="BA59" s="32" t="s">
        <v>263</v>
      </c>
      <c r="BC59" s="33">
        <f t="shared" si="17"/>
        <v>0</v>
      </c>
      <c r="BD59" s="33">
        <f t="shared" si="18"/>
        <v>0</v>
      </c>
      <c r="BE59" s="33">
        <v>0</v>
      </c>
      <c r="BF59" s="33">
        <f>59</f>
        <v>59</v>
      </c>
      <c r="BH59" s="23">
        <f t="shared" si="19"/>
        <v>0</v>
      </c>
      <c r="BI59" s="23">
        <f t="shared" si="20"/>
        <v>0</v>
      </c>
      <c r="BJ59" s="23">
        <f t="shared" si="21"/>
        <v>0</v>
      </c>
      <c r="BK59" s="23" t="s">
        <v>268</v>
      </c>
      <c r="BL59" s="33">
        <v>764</v>
      </c>
    </row>
    <row r="60" spans="1:64" ht="12.75">
      <c r="A60" s="4" t="s">
        <v>35</v>
      </c>
      <c r="B60" s="14" t="s">
        <v>96</v>
      </c>
      <c r="C60" s="90" t="s">
        <v>174</v>
      </c>
      <c r="D60" s="91"/>
      <c r="E60" s="91"/>
      <c r="F60" s="91"/>
      <c r="G60" s="91"/>
      <c r="H60" s="14" t="s">
        <v>213</v>
      </c>
      <c r="I60" s="23">
        <v>141</v>
      </c>
      <c r="J60" s="23">
        <v>0</v>
      </c>
      <c r="K60" s="23">
        <f t="shared" si="0"/>
        <v>0</v>
      </c>
      <c r="L60" s="23">
        <f t="shared" si="1"/>
        <v>0</v>
      </c>
      <c r="M60" s="41">
        <f t="shared" si="2"/>
        <v>0</v>
      </c>
      <c r="N60" s="6"/>
      <c r="Z60" s="33">
        <f t="shared" si="3"/>
        <v>0</v>
      </c>
      <c r="AB60" s="33">
        <f t="shared" si="4"/>
        <v>0</v>
      </c>
      <c r="AC60" s="33">
        <f t="shared" si="5"/>
        <v>0</v>
      </c>
      <c r="AD60" s="33">
        <f t="shared" si="6"/>
        <v>0</v>
      </c>
      <c r="AE60" s="33">
        <f t="shared" si="7"/>
        <v>0</v>
      </c>
      <c r="AF60" s="33">
        <f t="shared" si="8"/>
        <v>0</v>
      </c>
      <c r="AG60" s="33">
        <f t="shared" si="9"/>
        <v>0</v>
      </c>
      <c r="AH60" s="33">
        <f t="shared" si="10"/>
        <v>0</v>
      </c>
      <c r="AI60" s="32"/>
      <c r="AJ60" s="23">
        <f t="shared" si="11"/>
        <v>0</v>
      </c>
      <c r="AK60" s="23">
        <f t="shared" si="12"/>
        <v>0</v>
      </c>
      <c r="AL60" s="23">
        <f t="shared" si="13"/>
        <v>0</v>
      </c>
      <c r="AN60" s="33">
        <v>0</v>
      </c>
      <c r="AO60" s="33">
        <f>J60*0.492404451499735</f>
        <v>0</v>
      </c>
      <c r="AP60" s="33">
        <f>J60*(1-0.492404451499735)</f>
        <v>0</v>
      </c>
      <c r="AQ60" s="34" t="s">
        <v>13</v>
      </c>
      <c r="AV60" s="33">
        <f t="shared" si="14"/>
        <v>0</v>
      </c>
      <c r="AW60" s="33">
        <f t="shared" si="15"/>
        <v>0</v>
      </c>
      <c r="AX60" s="33">
        <f t="shared" si="16"/>
        <v>0</v>
      </c>
      <c r="AY60" s="36" t="s">
        <v>245</v>
      </c>
      <c r="AZ60" s="36" t="s">
        <v>260</v>
      </c>
      <c r="BA60" s="32" t="s">
        <v>263</v>
      </c>
      <c r="BC60" s="33">
        <f t="shared" si="17"/>
        <v>0</v>
      </c>
      <c r="BD60" s="33">
        <f t="shared" si="18"/>
        <v>0</v>
      </c>
      <c r="BE60" s="33">
        <v>0</v>
      </c>
      <c r="BF60" s="33">
        <f>60</f>
        <v>60</v>
      </c>
      <c r="BH60" s="23">
        <f t="shared" si="19"/>
        <v>0</v>
      </c>
      <c r="BI60" s="23">
        <f t="shared" si="20"/>
        <v>0</v>
      </c>
      <c r="BJ60" s="23">
        <f t="shared" si="21"/>
        <v>0</v>
      </c>
      <c r="BK60" s="23" t="s">
        <v>268</v>
      </c>
      <c r="BL60" s="33">
        <v>764</v>
      </c>
    </row>
    <row r="61" spans="1:64" ht="12.75">
      <c r="A61" s="4" t="s">
        <v>36</v>
      </c>
      <c r="B61" s="14" t="s">
        <v>97</v>
      </c>
      <c r="C61" s="90" t="s">
        <v>175</v>
      </c>
      <c r="D61" s="91"/>
      <c r="E61" s="91"/>
      <c r="F61" s="91"/>
      <c r="G61" s="91"/>
      <c r="H61" s="14" t="s">
        <v>213</v>
      </c>
      <c r="I61" s="23">
        <v>6</v>
      </c>
      <c r="J61" s="23">
        <v>0</v>
      </c>
      <c r="K61" s="23">
        <f t="shared" si="0"/>
        <v>0</v>
      </c>
      <c r="L61" s="23">
        <f t="shared" si="1"/>
        <v>0</v>
      </c>
      <c r="M61" s="41">
        <f t="shared" si="2"/>
        <v>0</v>
      </c>
      <c r="N61" s="6"/>
      <c r="Z61" s="33">
        <f t="shared" si="3"/>
        <v>0</v>
      </c>
      <c r="AB61" s="33">
        <f t="shared" si="4"/>
        <v>0</v>
      </c>
      <c r="AC61" s="33">
        <f t="shared" si="5"/>
        <v>0</v>
      </c>
      <c r="AD61" s="33">
        <f t="shared" si="6"/>
        <v>0</v>
      </c>
      <c r="AE61" s="33">
        <f t="shared" si="7"/>
        <v>0</v>
      </c>
      <c r="AF61" s="33">
        <f t="shared" si="8"/>
        <v>0</v>
      </c>
      <c r="AG61" s="33">
        <f t="shared" si="9"/>
        <v>0</v>
      </c>
      <c r="AH61" s="33">
        <f t="shared" si="10"/>
        <v>0</v>
      </c>
      <c r="AI61" s="32"/>
      <c r="AJ61" s="23">
        <f t="shared" si="11"/>
        <v>0</v>
      </c>
      <c r="AK61" s="23">
        <f t="shared" si="12"/>
        <v>0</v>
      </c>
      <c r="AL61" s="23">
        <f t="shared" si="13"/>
        <v>0</v>
      </c>
      <c r="AN61" s="33">
        <v>0</v>
      </c>
      <c r="AO61" s="33">
        <f>J61*0.651837459069764</f>
        <v>0</v>
      </c>
      <c r="AP61" s="33">
        <f>J61*(1-0.651837459069764)</f>
        <v>0</v>
      </c>
      <c r="AQ61" s="34" t="s">
        <v>13</v>
      </c>
      <c r="AV61" s="33">
        <f t="shared" si="14"/>
        <v>0</v>
      </c>
      <c r="AW61" s="33">
        <f t="shared" si="15"/>
        <v>0</v>
      </c>
      <c r="AX61" s="33">
        <f t="shared" si="16"/>
        <v>0</v>
      </c>
      <c r="AY61" s="36" t="s">
        <v>245</v>
      </c>
      <c r="AZ61" s="36" t="s">
        <v>260</v>
      </c>
      <c r="BA61" s="32" t="s">
        <v>263</v>
      </c>
      <c r="BC61" s="33">
        <f t="shared" si="17"/>
        <v>0</v>
      </c>
      <c r="BD61" s="33">
        <f t="shared" si="18"/>
        <v>0</v>
      </c>
      <c r="BE61" s="33">
        <v>0</v>
      </c>
      <c r="BF61" s="33">
        <f>61</f>
        <v>61</v>
      </c>
      <c r="BH61" s="23">
        <f t="shared" si="19"/>
        <v>0</v>
      </c>
      <c r="BI61" s="23">
        <f t="shared" si="20"/>
        <v>0</v>
      </c>
      <c r="BJ61" s="23">
        <f t="shared" si="21"/>
        <v>0</v>
      </c>
      <c r="BK61" s="23" t="s">
        <v>268</v>
      </c>
      <c r="BL61" s="33">
        <v>764</v>
      </c>
    </row>
    <row r="62" spans="1:64" ht="12.75">
      <c r="A62" s="4" t="s">
        <v>37</v>
      </c>
      <c r="B62" s="14" t="s">
        <v>98</v>
      </c>
      <c r="C62" s="90" t="s">
        <v>176</v>
      </c>
      <c r="D62" s="91"/>
      <c r="E62" s="91"/>
      <c r="F62" s="91"/>
      <c r="G62" s="91"/>
      <c r="H62" s="14" t="s">
        <v>213</v>
      </c>
      <c r="I62" s="23">
        <v>3</v>
      </c>
      <c r="J62" s="23">
        <v>0</v>
      </c>
      <c r="K62" s="23">
        <f t="shared" si="0"/>
        <v>0</v>
      </c>
      <c r="L62" s="23">
        <f t="shared" si="1"/>
        <v>0</v>
      </c>
      <c r="M62" s="41">
        <f t="shared" si="2"/>
        <v>0</v>
      </c>
      <c r="N62" s="6"/>
      <c r="Z62" s="33">
        <f t="shared" si="3"/>
        <v>0</v>
      </c>
      <c r="AB62" s="33">
        <f t="shared" si="4"/>
        <v>0</v>
      </c>
      <c r="AC62" s="33">
        <f t="shared" si="5"/>
        <v>0</v>
      </c>
      <c r="AD62" s="33">
        <f t="shared" si="6"/>
        <v>0</v>
      </c>
      <c r="AE62" s="33">
        <f t="shared" si="7"/>
        <v>0</v>
      </c>
      <c r="AF62" s="33">
        <f t="shared" si="8"/>
        <v>0</v>
      </c>
      <c r="AG62" s="33">
        <f t="shared" si="9"/>
        <v>0</v>
      </c>
      <c r="AH62" s="33">
        <f t="shared" si="10"/>
        <v>0</v>
      </c>
      <c r="AI62" s="32"/>
      <c r="AJ62" s="23">
        <f t="shared" si="11"/>
        <v>0</v>
      </c>
      <c r="AK62" s="23">
        <f t="shared" si="12"/>
        <v>0</v>
      </c>
      <c r="AL62" s="23">
        <f t="shared" si="13"/>
        <v>0</v>
      </c>
      <c r="AN62" s="33">
        <v>0</v>
      </c>
      <c r="AO62" s="33">
        <f>J62*0.694923291492329</f>
        <v>0</v>
      </c>
      <c r="AP62" s="33">
        <f>J62*(1-0.694923291492329)</f>
        <v>0</v>
      </c>
      <c r="AQ62" s="34" t="s">
        <v>13</v>
      </c>
      <c r="AV62" s="33">
        <f t="shared" si="14"/>
        <v>0</v>
      </c>
      <c r="AW62" s="33">
        <f t="shared" si="15"/>
        <v>0</v>
      </c>
      <c r="AX62" s="33">
        <f t="shared" si="16"/>
        <v>0</v>
      </c>
      <c r="AY62" s="36" t="s">
        <v>245</v>
      </c>
      <c r="AZ62" s="36" t="s">
        <v>260</v>
      </c>
      <c r="BA62" s="32" t="s">
        <v>263</v>
      </c>
      <c r="BC62" s="33">
        <f t="shared" si="17"/>
        <v>0</v>
      </c>
      <c r="BD62" s="33">
        <f t="shared" si="18"/>
        <v>0</v>
      </c>
      <c r="BE62" s="33">
        <v>0</v>
      </c>
      <c r="BF62" s="33">
        <f>62</f>
        <v>62</v>
      </c>
      <c r="BH62" s="23">
        <f t="shared" si="19"/>
        <v>0</v>
      </c>
      <c r="BI62" s="23">
        <f t="shared" si="20"/>
        <v>0</v>
      </c>
      <c r="BJ62" s="23">
        <f t="shared" si="21"/>
        <v>0</v>
      </c>
      <c r="BK62" s="23" t="s">
        <v>268</v>
      </c>
      <c r="BL62" s="33">
        <v>764</v>
      </c>
    </row>
    <row r="63" spans="1:64" ht="12.75">
      <c r="A63" s="4" t="s">
        <v>38</v>
      </c>
      <c r="B63" s="14" t="s">
        <v>99</v>
      </c>
      <c r="C63" s="90" t="s">
        <v>177</v>
      </c>
      <c r="D63" s="91"/>
      <c r="E63" s="91"/>
      <c r="F63" s="91"/>
      <c r="G63" s="91"/>
      <c r="H63" s="14" t="s">
        <v>213</v>
      </c>
      <c r="I63" s="23">
        <v>6</v>
      </c>
      <c r="J63" s="23">
        <v>0</v>
      </c>
      <c r="K63" s="23">
        <f t="shared" si="0"/>
        <v>0</v>
      </c>
      <c r="L63" s="23">
        <f t="shared" si="1"/>
        <v>0</v>
      </c>
      <c r="M63" s="41">
        <f t="shared" si="2"/>
        <v>0</v>
      </c>
      <c r="N63" s="6"/>
      <c r="Z63" s="33">
        <f t="shared" si="3"/>
        <v>0</v>
      </c>
      <c r="AB63" s="33">
        <f t="shared" si="4"/>
        <v>0</v>
      </c>
      <c r="AC63" s="33">
        <f t="shared" si="5"/>
        <v>0</v>
      </c>
      <c r="AD63" s="33">
        <f t="shared" si="6"/>
        <v>0</v>
      </c>
      <c r="AE63" s="33">
        <f t="shared" si="7"/>
        <v>0</v>
      </c>
      <c r="AF63" s="33">
        <f t="shared" si="8"/>
        <v>0</v>
      </c>
      <c r="AG63" s="33">
        <f t="shared" si="9"/>
        <v>0</v>
      </c>
      <c r="AH63" s="33">
        <f t="shared" si="10"/>
        <v>0</v>
      </c>
      <c r="AI63" s="32"/>
      <c r="AJ63" s="23">
        <f t="shared" si="11"/>
        <v>0</v>
      </c>
      <c r="AK63" s="23">
        <f t="shared" si="12"/>
        <v>0</v>
      </c>
      <c r="AL63" s="23">
        <f t="shared" si="13"/>
        <v>0</v>
      </c>
      <c r="AN63" s="33">
        <v>0</v>
      </c>
      <c r="AO63" s="33">
        <f>J63*0.524421798143749</f>
        <v>0</v>
      </c>
      <c r="AP63" s="33">
        <f>J63*(1-0.524421798143749)</f>
        <v>0</v>
      </c>
      <c r="AQ63" s="34" t="s">
        <v>13</v>
      </c>
      <c r="AV63" s="33">
        <f t="shared" si="14"/>
        <v>0</v>
      </c>
      <c r="AW63" s="33">
        <f t="shared" si="15"/>
        <v>0</v>
      </c>
      <c r="AX63" s="33">
        <f t="shared" si="16"/>
        <v>0</v>
      </c>
      <c r="AY63" s="36" t="s">
        <v>245</v>
      </c>
      <c r="AZ63" s="36" t="s">
        <v>260</v>
      </c>
      <c r="BA63" s="32" t="s">
        <v>263</v>
      </c>
      <c r="BC63" s="33">
        <f t="shared" si="17"/>
        <v>0</v>
      </c>
      <c r="BD63" s="33">
        <f t="shared" si="18"/>
        <v>0</v>
      </c>
      <c r="BE63" s="33">
        <v>0</v>
      </c>
      <c r="BF63" s="33">
        <f>63</f>
        <v>63</v>
      </c>
      <c r="BH63" s="23">
        <f t="shared" si="19"/>
        <v>0</v>
      </c>
      <c r="BI63" s="23">
        <f t="shared" si="20"/>
        <v>0</v>
      </c>
      <c r="BJ63" s="23">
        <f t="shared" si="21"/>
        <v>0</v>
      </c>
      <c r="BK63" s="23" t="s">
        <v>268</v>
      </c>
      <c r="BL63" s="33">
        <v>764</v>
      </c>
    </row>
    <row r="64" spans="1:47" ht="12.75">
      <c r="A64" s="5"/>
      <c r="B64" s="15" t="s">
        <v>100</v>
      </c>
      <c r="C64" s="95" t="s">
        <v>178</v>
      </c>
      <c r="D64" s="96"/>
      <c r="E64" s="96"/>
      <c r="F64" s="96"/>
      <c r="G64" s="96"/>
      <c r="H64" s="21" t="s">
        <v>6</v>
      </c>
      <c r="I64" s="21" t="s">
        <v>6</v>
      </c>
      <c r="J64" s="21" t="s">
        <v>6</v>
      </c>
      <c r="K64" s="39">
        <f>SUM(K65:K65)</f>
        <v>0</v>
      </c>
      <c r="L64" s="39">
        <f>SUM(L65:L65)</f>
        <v>0</v>
      </c>
      <c r="M64" s="42">
        <f>SUM(M65:M65)</f>
        <v>0</v>
      </c>
      <c r="N64" s="6"/>
      <c r="AI64" s="32"/>
      <c r="AS64" s="39">
        <f>SUM(AJ65:AJ65)</f>
        <v>0</v>
      </c>
      <c r="AT64" s="39">
        <f>SUM(AK65:AK65)</f>
        <v>0</v>
      </c>
      <c r="AU64" s="39">
        <f>SUM(AL65:AL65)</f>
        <v>0</v>
      </c>
    </row>
    <row r="65" spans="1:64" ht="12.75">
      <c r="A65" s="4" t="s">
        <v>39</v>
      </c>
      <c r="B65" s="14" t="s">
        <v>101</v>
      </c>
      <c r="C65" s="90" t="s">
        <v>179</v>
      </c>
      <c r="D65" s="91"/>
      <c r="E65" s="91"/>
      <c r="F65" s="91"/>
      <c r="G65" s="91"/>
      <c r="H65" s="14" t="s">
        <v>211</v>
      </c>
      <c r="I65" s="23">
        <v>1</v>
      </c>
      <c r="J65" s="23">
        <v>0</v>
      </c>
      <c r="K65" s="23">
        <f>I65*AO65</f>
        <v>0</v>
      </c>
      <c r="L65" s="23">
        <f>I65*AP65</f>
        <v>0</v>
      </c>
      <c r="M65" s="41">
        <f>I65*J65</f>
        <v>0</v>
      </c>
      <c r="N65" s="6"/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32"/>
      <c r="AJ65" s="23">
        <f>IF(AN65=0,M65,0)</f>
        <v>0</v>
      </c>
      <c r="AK65" s="23">
        <f>IF(AN65=15,M65,0)</f>
        <v>0</v>
      </c>
      <c r="AL65" s="23">
        <f>IF(AN65=21,M65,0)</f>
        <v>0</v>
      </c>
      <c r="AN65" s="33">
        <v>0</v>
      </c>
      <c r="AO65" s="33">
        <f>J65*0.0867705835331735</f>
        <v>0</v>
      </c>
      <c r="AP65" s="33">
        <f>J65*(1-0.0867705835331735)</f>
        <v>0</v>
      </c>
      <c r="AQ65" s="34" t="s">
        <v>13</v>
      </c>
      <c r="AV65" s="33">
        <f>AW65+AX65</f>
        <v>0</v>
      </c>
      <c r="AW65" s="33">
        <f>I65*AO65</f>
        <v>0</v>
      </c>
      <c r="AX65" s="33">
        <f>I65*AP65</f>
        <v>0</v>
      </c>
      <c r="AY65" s="36" t="s">
        <v>246</v>
      </c>
      <c r="AZ65" s="36" t="s">
        <v>260</v>
      </c>
      <c r="BA65" s="32" t="s">
        <v>263</v>
      </c>
      <c r="BC65" s="33">
        <f>AW65+AX65</f>
        <v>0</v>
      </c>
      <c r="BD65" s="33">
        <f>J65/(100-BE65)*100</f>
        <v>0</v>
      </c>
      <c r="BE65" s="33">
        <v>0</v>
      </c>
      <c r="BF65" s="33">
        <f>65</f>
        <v>65</v>
      </c>
      <c r="BH65" s="23">
        <f>I65*AO65</f>
        <v>0</v>
      </c>
      <c r="BI65" s="23">
        <f>I65*AP65</f>
        <v>0</v>
      </c>
      <c r="BJ65" s="23">
        <f>I65*J65</f>
        <v>0</v>
      </c>
      <c r="BK65" s="23" t="s">
        <v>268</v>
      </c>
      <c r="BL65" s="33">
        <v>766</v>
      </c>
    </row>
    <row r="66" spans="1:47" ht="12.75">
      <c r="A66" s="5"/>
      <c r="B66" s="15" t="s">
        <v>102</v>
      </c>
      <c r="C66" s="95" t="s">
        <v>180</v>
      </c>
      <c r="D66" s="96"/>
      <c r="E66" s="96"/>
      <c r="F66" s="96"/>
      <c r="G66" s="96"/>
      <c r="H66" s="21" t="s">
        <v>6</v>
      </c>
      <c r="I66" s="21" t="s">
        <v>6</v>
      </c>
      <c r="J66" s="21" t="s">
        <v>6</v>
      </c>
      <c r="K66" s="39">
        <f>SUM(K67:K67)</f>
        <v>0</v>
      </c>
      <c r="L66" s="39">
        <f>SUM(L67:L67)</f>
        <v>0</v>
      </c>
      <c r="M66" s="42">
        <f>SUM(M67:M67)</f>
        <v>0</v>
      </c>
      <c r="N66" s="6"/>
      <c r="AI66" s="32"/>
      <c r="AS66" s="39">
        <f>SUM(AJ67:AJ67)</f>
        <v>0</v>
      </c>
      <c r="AT66" s="39">
        <f>SUM(AK67:AK67)</f>
        <v>0</v>
      </c>
      <c r="AU66" s="39">
        <f>SUM(AL67:AL67)</f>
        <v>0</v>
      </c>
    </row>
    <row r="67" spans="1:64" ht="12.75">
      <c r="A67" s="4" t="s">
        <v>40</v>
      </c>
      <c r="B67" s="14" t="s">
        <v>103</v>
      </c>
      <c r="C67" s="90" t="s">
        <v>181</v>
      </c>
      <c r="D67" s="91"/>
      <c r="E67" s="91"/>
      <c r="F67" s="91"/>
      <c r="G67" s="91"/>
      <c r="H67" s="14" t="s">
        <v>211</v>
      </c>
      <c r="I67" s="23">
        <v>1</v>
      </c>
      <c r="J67" s="23">
        <v>0</v>
      </c>
      <c r="K67" s="23">
        <f>I67*AO67</f>
        <v>0</v>
      </c>
      <c r="L67" s="23">
        <f>I67*AP67</f>
        <v>0</v>
      </c>
      <c r="M67" s="41">
        <f>I67*J67</f>
        <v>0</v>
      </c>
      <c r="N67" s="6"/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32"/>
      <c r="AJ67" s="23">
        <f>IF(AN67=0,M67,0)</f>
        <v>0</v>
      </c>
      <c r="AK67" s="23">
        <f>IF(AN67=15,M67,0)</f>
        <v>0</v>
      </c>
      <c r="AL67" s="23">
        <f>IF(AN67=21,M67,0)</f>
        <v>0</v>
      </c>
      <c r="AN67" s="33">
        <v>0</v>
      </c>
      <c r="AO67" s="33">
        <f>J67*0.765174347817409</f>
        <v>0</v>
      </c>
      <c r="AP67" s="33">
        <f>J67*(1-0.765174347817409)</f>
        <v>0</v>
      </c>
      <c r="AQ67" s="34" t="s">
        <v>13</v>
      </c>
      <c r="AV67" s="33">
        <f>AW67+AX67</f>
        <v>0</v>
      </c>
      <c r="AW67" s="33">
        <f>I67*AO67</f>
        <v>0</v>
      </c>
      <c r="AX67" s="33">
        <f>I67*AP67</f>
        <v>0</v>
      </c>
      <c r="AY67" s="36" t="s">
        <v>247</v>
      </c>
      <c r="AZ67" s="36" t="s">
        <v>260</v>
      </c>
      <c r="BA67" s="32" t="s">
        <v>263</v>
      </c>
      <c r="BC67" s="33">
        <f>AW67+AX67</f>
        <v>0</v>
      </c>
      <c r="BD67" s="33">
        <f>J67/(100-BE67)*100</f>
        <v>0</v>
      </c>
      <c r="BE67" s="33">
        <v>0</v>
      </c>
      <c r="BF67" s="33">
        <f>67</f>
        <v>67</v>
      </c>
      <c r="BH67" s="23">
        <f>I67*AO67</f>
        <v>0</v>
      </c>
      <c r="BI67" s="23">
        <f>I67*AP67</f>
        <v>0</v>
      </c>
      <c r="BJ67" s="23">
        <f>I67*J67</f>
        <v>0</v>
      </c>
      <c r="BK67" s="23" t="s">
        <v>268</v>
      </c>
      <c r="BL67" s="33">
        <v>767</v>
      </c>
    </row>
    <row r="68" spans="1:47" ht="12.75">
      <c r="A68" s="5"/>
      <c r="B68" s="15" t="s">
        <v>104</v>
      </c>
      <c r="C68" s="95" t="s">
        <v>182</v>
      </c>
      <c r="D68" s="96"/>
      <c r="E68" s="96"/>
      <c r="F68" s="96"/>
      <c r="G68" s="96"/>
      <c r="H68" s="21" t="s">
        <v>6</v>
      </c>
      <c r="I68" s="21" t="s">
        <v>6</v>
      </c>
      <c r="J68" s="21" t="s">
        <v>6</v>
      </c>
      <c r="K68" s="39">
        <f>SUM(K69:K70)</f>
        <v>0</v>
      </c>
      <c r="L68" s="39">
        <f>SUM(L69:L70)</f>
        <v>0</v>
      </c>
      <c r="M68" s="42">
        <f>SUM(M69:M70)</f>
        <v>0</v>
      </c>
      <c r="N68" s="6"/>
      <c r="AI68" s="32"/>
      <c r="AS68" s="39">
        <f>SUM(AJ69:AJ70)</f>
        <v>0</v>
      </c>
      <c r="AT68" s="39">
        <f>SUM(AK69:AK70)</f>
        <v>0</v>
      </c>
      <c r="AU68" s="39">
        <f>SUM(AL69:AL70)</f>
        <v>0</v>
      </c>
    </row>
    <row r="69" spans="1:64" ht="12.75">
      <c r="A69" s="4" t="s">
        <v>41</v>
      </c>
      <c r="B69" s="14" t="s">
        <v>105</v>
      </c>
      <c r="C69" s="90" t="s">
        <v>183</v>
      </c>
      <c r="D69" s="91"/>
      <c r="E69" s="91"/>
      <c r="F69" s="91"/>
      <c r="G69" s="91"/>
      <c r="H69" s="14" t="s">
        <v>212</v>
      </c>
      <c r="I69" s="23">
        <v>51</v>
      </c>
      <c r="J69" s="23">
        <v>0</v>
      </c>
      <c r="K69" s="23">
        <f>I69*AO69</f>
        <v>0</v>
      </c>
      <c r="L69" s="23">
        <f>I69*AP69</f>
        <v>0</v>
      </c>
      <c r="M69" s="41">
        <f>I69*J69</f>
        <v>0</v>
      </c>
      <c r="N69" s="6"/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32"/>
      <c r="AJ69" s="23">
        <f>IF(AN69=0,M69,0)</f>
        <v>0</v>
      </c>
      <c r="AK69" s="23">
        <f>IF(AN69=15,M69,0)</f>
        <v>0</v>
      </c>
      <c r="AL69" s="23">
        <f>IF(AN69=21,M69,0)</f>
        <v>0</v>
      </c>
      <c r="AN69" s="33">
        <v>0</v>
      </c>
      <c r="AO69" s="33">
        <f>J69*0.60248896536246</f>
        <v>0</v>
      </c>
      <c r="AP69" s="33">
        <f>J69*(1-0.60248896536246)</f>
        <v>0</v>
      </c>
      <c r="AQ69" s="34" t="s">
        <v>13</v>
      </c>
      <c r="AV69" s="33">
        <f>AW69+AX69</f>
        <v>0</v>
      </c>
      <c r="AW69" s="33">
        <f>I69*AO69</f>
        <v>0</v>
      </c>
      <c r="AX69" s="33">
        <f>I69*AP69</f>
        <v>0</v>
      </c>
      <c r="AY69" s="36" t="s">
        <v>248</v>
      </c>
      <c r="AZ69" s="36" t="s">
        <v>261</v>
      </c>
      <c r="BA69" s="32" t="s">
        <v>263</v>
      </c>
      <c r="BC69" s="33">
        <f>AW69+AX69</f>
        <v>0</v>
      </c>
      <c r="BD69" s="33">
        <f>J69/(100-BE69)*100</f>
        <v>0</v>
      </c>
      <c r="BE69" s="33">
        <v>0</v>
      </c>
      <c r="BF69" s="33">
        <f>69</f>
        <v>69</v>
      </c>
      <c r="BH69" s="23">
        <f>I69*AO69</f>
        <v>0</v>
      </c>
      <c r="BI69" s="23">
        <f>I69*AP69</f>
        <v>0</v>
      </c>
      <c r="BJ69" s="23">
        <f>I69*J69</f>
        <v>0</v>
      </c>
      <c r="BK69" s="23" t="s">
        <v>268</v>
      </c>
      <c r="BL69" s="33">
        <v>783</v>
      </c>
    </row>
    <row r="70" spans="1:64" ht="12.75">
      <c r="A70" s="4" t="s">
        <v>42</v>
      </c>
      <c r="B70" s="14" t="s">
        <v>106</v>
      </c>
      <c r="C70" s="90" t="s">
        <v>184</v>
      </c>
      <c r="D70" s="91"/>
      <c r="E70" s="91"/>
      <c r="F70" s="91"/>
      <c r="G70" s="91"/>
      <c r="H70" s="14" t="s">
        <v>214</v>
      </c>
      <c r="I70" s="23">
        <v>1</v>
      </c>
      <c r="J70" s="23">
        <v>0</v>
      </c>
      <c r="K70" s="23">
        <f>I70*AO70</f>
        <v>0</v>
      </c>
      <c r="L70" s="23">
        <f>I70*AP70</f>
        <v>0</v>
      </c>
      <c r="M70" s="41">
        <f>I70*J70</f>
        <v>0</v>
      </c>
      <c r="N70" s="6"/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32"/>
      <c r="AJ70" s="23">
        <f>IF(AN70=0,M70,0)</f>
        <v>0</v>
      </c>
      <c r="AK70" s="23">
        <f>IF(AN70=15,M70,0)</f>
        <v>0</v>
      </c>
      <c r="AL70" s="23">
        <f>IF(AN70=21,M70,0)</f>
        <v>0</v>
      </c>
      <c r="AN70" s="33">
        <v>0</v>
      </c>
      <c r="AO70" s="33">
        <f>J70*0.306556439349632</f>
        <v>0</v>
      </c>
      <c r="AP70" s="33">
        <f>J70*(1-0.306556439349632)</f>
        <v>0</v>
      </c>
      <c r="AQ70" s="34" t="s">
        <v>13</v>
      </c>
      <c r="AV70" s="33">
        <f>AW70+AX70</f>
        <v>0</v>
      </c>
      <c r="AW70" s="33">
        <f>I70*AO70</f>
        <v>0</v>
      </c>
      <c r="AX70" s="33">
        <f>I70*AP70</f>
        <v>0</v>
      </c>
      <c r="AY70" s="36" t="s">
        <v>248</v>
      </c>
      <c r="AZ70" s="36" t="s">
        <v>261</v>
      </c>
      <c r="BA70" s="32" t="s">
        <v>263</v>
      </c>
      <c r="BC70" s="33">
        <f>AW70+AX70</f>
        <v>0</v>
      </c>
      <c r="BD70" s="33">
        <f>J70/(100-BE70)*100</f>
        <v>0</v>
      </c>
      <c r="BE70" s="33">
        <v>0</v>
      </c>
      <c r="BF70" s="33">
        <f>70</f>
        <v>70</v>
      </c>
      <c r="BH70" s="23">
        <f>I70*AO70</f>
        <v>0</v>
      </c>
      <c r="BI70" s="23">
        <f>I70*AP70</f>
        <v>0</v>
      </c>
      <c r="BJ70" s="23">
        <f>I70*J70</f>
        <v>0</v>
      </c>
      <c r="BK70" s="23" t="s">
        <v>268</v>
      </c>
      <c r="BL70" s="33">
        <v>783</v>
      </c>
    </row>
    <row r="71" spans="1:14" ht="12.75">
      <c r="A71" s="6"/>
      <c r="B71" s="16" t="s">
        <v>72</v>
      </c>
      <c r="C71" s="92" t="s">
        <v>185</v>
      </c>
      <c r="D71" s="93"/>
      <c r="E71" s="93"/>
      <c r="F71" s="93"/>
      <c r="G71" s="93"/>
      <c r="H71" s="93"/>
      <c r="I71" s="93"/>
      <c r="J71" s="93"/>
      <c r="K71" s="93"/>
      <c r="L71" s="93"/>
      <c r="M71" s="94"/>
      <c r="N71" s="6"/>
    </row>
    <row r="72" spans="1:47" ht="12.75">
      <c r="A72" s="5"/>
      <c r="B72" s="15" t="s">
        <v>107</v>
      </c>
      <c r="C72" s="95" t="s">
        <v>186</v>
      </c>
      <c r="D72" s="96"/>
      <c r="E72" s="96"/>
      <c r="F72" s="96"/>
      <c r="G72" s="96"/>
      <c r="H72" s="21" t="s">
        <v>6</v>
      </c>
      <c r="I72" s="21" t="s">
        <v>6</v>
      </c>
      <c r="J72" s="21" t="s">
        <v>6</v>
      </c>
      <c r="K72" s="39">
        <f>SUM(K73:K73)</f>
        <v>0</v>
      </c>
      <c r="L72" s="39">
        <f>SUM(L73:L73)</f>
        <v>0</v>
      </c>
      <c r="M72" s="42">
        <f>SUM(M73:M73)</f>
        <v>0</v>
      </c>
      <c r="N72" s="6"/>
      <c r="AI72" s="32"/>
      <c r="AS72" s="39">
        <f>SUM(AJ73:AJ73)</f>
        <v>0</v>
      </c>
      <c r="AT72" s="39">
        <f>SUM(AK73:AK73)</f>
        <v>0</v>
      </c>
      <c r="AU72" s="39">
        <f>SUM(AL73:AL73)</f>
        <v>0</v>
      </c>
    </row>
    <row r="73" spans="1:64" ht="12.75">
      <c r="A73" s="4" t="s">
        <v>43</v>
      </c>
      <c r="B73" s="14" t="s">
        <v>108</v>
      </c>
      <c r="C73" s="90" t="s">
        <v>187</v>
      </c>
      <c r="D73" s="91"/>
      <c r="E73" s="91"/>
      <c r="F73" s="91"/>
      <c r="G73" s="91"/>
      <c r="H73" s="14" t="s">
        <v>215</v>
      </c>
      <c r="I73" s="23">
        <v>0.8881</v>
      </c>
      <c r="J73" s="23">
        <v>0</v>
      </c>
      <c r="K73" s="23">
        <f>I73*AO73</f>
        <v>0</v>
      </c>
      <c r="L73" s="23">
        <f>I73*AP73</f>
        <v>0</v>
      </c>
      <c r="M73" s="41">
        <f>I73*J73</f>
        <v>0</v>
      </c>
      <c r="N73" s="6"/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32"/>
      <c r="AJ73" s="23">
        <f>IF(AN73=0,M73,0)</f>
        <v>0</v>
      </c>
      <c r="AK73" s="23">
        <f>IF(AN73=15,M73,0)</f>
        <v>0</v>
      </c>
      <c r="AL73" s="23">
        <f>IF(AN73=21,M73,0)</f>
        <v>0</v>
      </c>
      <c r="AN73" s="33">
        <v>0</v>
      </c>
      <c r="AO73" s="33">
        <f>J73*0</f>
        <v>0</v>
      </c>
      <c r="AP73" s="33">
        <f>J73*(1-0)</f>
        <v>0</v>
      </c>
      <c r="AQ73" s="34" t="s">
        <v>11</v>
      </c>
      <c r="AV73" s="33">
        <f>AW73+AX73</f>
        <v>0</v>
      </c>
      <c r="AW73" s="33">
        <f>I73*AO73</f>
        <v>0</v>
      </c>
      <c r="AX73" s="33">
        <f>I73*AP73</f>
        <v>0</v>
      </c>
      <c r="AY73" s="36" t="s">
        <v>249</v>
      </c>
      <c r="AZ73" s="36" t="s">
        <v>257</v>
      </c>
      <c r="BA73" s="32" t="s">
        <v>263</v>
      </c>
      <c r="BC73" s="33">
        <f>AW73+AX73</f>
        <v>0</v>
      </c>
      <c r="BD73" s="33">
        <f>J73/(100-BE73)*100</f>
        <v>0</v>
      </c>
      <c r="BE73" s="33">
        <v>0</v>
      </c>
      <c r="BF73" s="33">
        <f>73</f>
        <v>73</v>
      </c>
      <c r="BH73" s="23">
        <f>I73*AO73</f>
        <v>0</v>
      </c>
      <c r="BI73" s="23">
        <f>I73*AP73</f>
        <v>0</v>
      </c>
      <c r="BJ73" s="23">
        <f>I73*J73</f>
        <v>0</v>
      </c>
      <c r="BK73" s="23" t="s">
        <v>268</v>
      </c>
      <c r="BL73" s="33" t="s">
        <v>107</v>
      </c>
    </row>
    <row r="74" spans="1:47" ht="12.75">
      <c r="A74" s="5"/>
      <c r="B74" s="15" t="s">
        <v>109</v>
      </c>
      <c r="C74" s="95" t="s">
        <v>138</v>
      </c>
      <c r="D74" s="96"/>
      <c r="E74" s="96"/>
      <c r="F74" s="96"/>
      <c r="G74" s="96"/>
      <c r="H74" s="21" t="s">
        <v>6</v>
      </c>
      <c r="I74" s="21" t="s">
        <v>6</v>
      </c>
      <c r="J74" s="21" t="s">
        <v>6</v>
      </c>
      <c r="K74" s="39">
        <f>SUM(K75:K75)</f>
        <v>0</v>
      </c>
      <c r="L74" s="39">
        <f>SUM(L75:L75)</f>
        <v>0</v>
      </c>
      <c r="M74" s="42">
        <f>SUM(M75:M75)</f>
        <v>0</v>
      </c>
      <c r="N74" s="6"/>
      <c r="AI74" s="32"/>
      <c r="AS74" s="39">
        <f>SUM(AJ75:AJ75)</f>
        <v>0</v>
      </c>
      <c r="AT74" s="39">
        <f>SUM(AK75:AK75)</f>
        <v>0</v>
      </c>
      <c r="AU74" s="39">
        <f>SUM(AL75:AL75)</f>
        <v>0</v>
      </c>
    </row>
    <row r="75" spans="1:64" ht="12.75">
      <c r="A75" s="4" t="s">
        <v>44</v>
      </c>
      <c r="B75" s="14" t="s">
        <v>110</v>
      </c>
      <c r="C75" s="90" t="s">
        <v>188</v>
      </c>
      <c r="D75" s="91"/>
      <c r="E75" s="91"/>
      <c r="F75" s="91"/>
      <c r="G75" s="91"/>
      <c r="H75" s="14" t="s">
        <v>215</v>
      </c>
      <c r="I75" s="23">
        <v>8.8103</v>
      </c>
      <c r="J75" s="23">
        <v>0</v>
      </c>
      <c r="K75" s="23">
        <f>I75*AO75</f>
        <v>0</v>
      </c>
      <c r="L75" s="23">
        <f>I75*AP75</f>
        <v>0</v>
      </c>
      <c r="M75" s="41">
        <f>I75*J75</f>
        <v>0</v>
      </c>
      <c r="N75" s="6"/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32"/>
      <c r="AJ75" s="23">
        <f>IF(AN75=0,M75,0)</f>
        <v>0</v>
      </c>
      <c r="AK75" s="23">
        <f>IF(AN75=15,M75,0)</f>
        <v>0</v>
      </c>
      <c r="AL75" s="23">
        <f>IF(AN75=21,M75,0)</f>
        <v>0</v>
      </c>
      <c r="AN75" s="33">
        <v>0</v>
      </c>
      <c r="AO75" s="33">
        <f>J75*0</f>
        <v>0</v>
      </c>
      <c r="AP75" s="33">
        <f>J75*(1-0)</f>
        <v>0</v>
      </c>
      <c r="AQ75" s="34" t="s">
        <v>11</v>
      </c>
      <c r="AV75" s="33">
        <f>AW75+AX75</f>
        <v>0</v>
      </c>
      <c r="AW75" s="33">
        <f>I75*AO75</f>
        <v>0</v>
      </c>
      <c r="AX75" s="33">
        <f>I75*AP75</f>
        <v>0</v>
      </c>
      <c r="AY75" s="36" t="s">
        <v>250</v>
      </c>
      <c r="AZ75" s="36" t="s">
        <v>257</v>
      </c>
      <c r="BA75" s="32" t="s">
        <v>263</v>
      </c>
      <c r="BC75" s="33">
        <f>AW75+AX75</f>
        <v>0</v>
      </c>
      <c r="BD75" s="33">
        <f>J75/(100-BE75)*100</f>
        <v>0</v>
      </c>
      <c r="BE75" s="33">
        <v>0</v>
      </c>
      <c r="BF75" s="33">
        <f>75</f>
        <v>75</v>
      </c>
      <c r="BH75" s="23">
        <f>I75*AO75</f>
        <v>0</v>
      </c>
      <c r="BI75" s="23">
        <f>I75*AP75</f>
        <v>0</v>
      </c>
      <c r="BJ75" s="23">
        <f>I75*J75</f>
        <v>0</v>
      </c>
      <c r="BK75" s="23" t="s">
        <v>268</v>
      </c>
      <c r="BL75" s="33" t="s">
        <v>109</v>
      </c>
    </row>
    <row r="76" spans="1:47" ht="12.75">
      <c r="A76" s="5"/>
      <c r="B76" s="15" t="s">
        <v>111</v>
      </c>
      <c r="C76" s="95" t="s">
        <v>153</v>
      </c>
      <c r="D76" s="96"/>
      <c r="E76" s="96"/>
      <c r="F76" s="96"/>
      <c r="G76" s="96"/>
      <c r="H76" s="21" t="s">
        <v>6</v>
      </c>
      <c r="I76" s="21" t="s">
        <v>6</v>
      </c>
      <c r="J76" s="21" t="s">
        <v>6</v>
      </c>
      <c r="K76" s="39">
        <f>SUM(K77:K77)</f>
        <v>0</v>
      </c>
      <c r="L76" s="39">
        <f>SUM(L77:L77)</f>
        <v>0</v>
      </c>
      <c r="M76" s="42">
        <f>SUM(M77:M77)</f>
        <v>0</v>
      </c>
      <c r="N76" s="6"/>
      <c r="AI76" s="32"/>
      <c r="AS76" s="39">
        <f>SUM(AJ77:AJ77)</f>
        <v>0</v>
      </c>
      <c r="AT76" s="39">
        <f>SUM(AK77:AK77)</f>
        <v>0</v>
      </c>
      <c r="AU76" s="39">
        <f>SUM(AL77:AL77)</f>
        <v>0</v>
      </c>
    </row>
    <row r="77" spans="1:64" ht="12.75">
      <c r="A77" s="4" t="s">
        <v>45</v>
      </c>
      <c r="B77" s="14" t="s">
        <v>112</v>
      </c>
      <c r="C77" s="90" t="s">
        <v>189</v>
      </c>
      <c r="D77" s="91"/>
      <c r="E77" s="91"/>
      <c r="F77" s="91"/>
      <c r="G77" s="91"/>
      <c r="H77" s="14" t="s">
        <v>215</v>
      </c>
      <c r="I77" s="23">
        <v>2.0934</v>
      </c>
      <c r="J77" s="23">
        <v>0</v>
      </c>
      <c r="K77" s="23">
        <f>I77*AO77</f>
        <v>0</v>
      </c>
      <c r="L77" s="23">
        <f>I77*AP77</f>
        <v>0</v>
      </c>
      <c r="M77" s="41">
        <f>I77*J77</f>
        <v>0</v>
      </c>
      <c r="N77" s="6"/>
      <c r="Z77" s="33">
        <f>IF(AQ77="5",BJ77,0)</f>
        <v>0</v>
      </c>
      <c r="AB77" s="33">
        <f>IF(AQ77="1",BH77,0)</f>
        <v>0</v>
      </c>
      <c r="AC77" s="33">
        <f>IF(AQ77="1",BI77,0)</f>
        <v>0</v>
      </c>
      <c r="AD77" s="33">
        <f>IF(AQ77="7",BH77,0)</f>
        <v>0</v>
      </c>
      <c r="AE77" s="33">
        <f>IF(AQ77="7",BI77,0)</f>
        <v>0</v>
      </c>
      <c r="AF77" s="33">
        <f>IF(AQ77="2",BH77,0)</f>
        <v>0</v>
      </c>
      <c r="AG77" s="33">
        <f>IF(AQ77="2",BI77,0)</f>
        <v>0</v>
      </c>
      <c r="AH77" s="33">
        <f>IF(AQ77="0",BJ77,0)</f>
        <v>0</v>
      </c>
      <c r="AI77" s="32"/>
      <c r="AJ77" s="23">
        <f>IF(AN77=0,M77,0)</f>
        <v>0</v>
      </c>
      <c r="AK77" s="23">
        <f>IF(AN77=15,M77,0)</f>
        <v>0</v>
      </c>
      <c r="AL77" s="23">
        <f>IF(AN77=21,M77,0)</f>
        <v>0</v>
      </c>
      <c r="AN77" s="33">
        <v>0</v>
      </c>
      <c r="AO77" s="33">
        <f>J77*0</f>
        <v>0</v>
      </c>
      <c r="AP77" s="33">
        <f>J77*(1-0)</f>
        <v>0</v>
      </c>
      <c r="AQ77" s="34" t="s">
        <v>11</v>
      </c>
      <c r="AV77" s="33">
        <f>AW77+AX77</f>
        <v>0</v>
      </c>
      <c r="AW77" s="33">
        <f>I77*AO77</f>
        <v>0</v>
      </c>
      <c r="AX77" s="33">
        <f>I77*AP77</f>
        <v>0</v>
      </c>
      <c r="AY77" s="36" t="s">
        <v>251</v>
      </c>
      <c r="AZ77" s="36" t="s">
        <v>257</v>
      </c>
      <c r="BA77" s="32" t="s">
        <v>263</v>
      </c>
      <c r="BC77" s="33">
        <f>AW77+AX77</f>
        <v>0</v>
      </c>
      <c r="BD77" s="33">
        <f>J77/(100-BE77)*100</f>
        <v>0</v>
      </c>
      <c r="BE77" s="33">
        <v>0</v>
      </c>
      <c r="BF77" s="33">
        <f>77</f>
        <v>77</v>
      </c>
      <c r="BH77" s="23">
        <f>I77*AO77</f>
        <v>0</v>
      </c>
      <c r="BI77" s="23">
        <f>I77*AP77</f>
        <v>0</v>
      </c>
      <c r="BJ77" s="23">
        <f>I77*J77</f>
        <v>0</v>
      </c>
      <c r="BK77" s="23" t="s">
        <v>268</v>
      </c>
      <c r="BL77" s="33" t="s">
        <v>111</v>
      </c>
    </row>
    <row r="78" spans="1:47" ht="12.75">
      <c r="A78" s="5"/>
      <c r="B78" s="15" t="s">
        <v>113</v>
      </c>
      <c r="C78" s="95" t="s">
        <v>168</v>
      </c>
      <c r="D78" s="96"/>
      <c r="E78" s="96"/>
      <c r="F78" s="96"/>
      <c r="G78" s="96"/>
      <c r="H78" s="21" t="s">
        <v>6</v>
      </c>
      <c r="I78" s="21" t="s">
        <v>6</v>
      </c>
      <c r="J78" s="21" t="s">
        <v>6</v>
      </c>
      <c r="K78" s="39">
        <f>SUM(K79:K79)</f>
        <v>0</v>
      </c>
      <c r="L78" s="39">
        <f>SUM(L79:L79)</f>
        <v>0</v>
      </c>
      <c r="M78" s="42">
        <f>SUM(M79:M79)</f>
        <v>0</v>
      </c>
      <c r="N78" s="6"/>
      <c r="AI78" s="32"/>
      <c r="AS78" s="39">
        <f>SUM(AJ79:AJ79)</f>
        <v>0</v>
      </c>
      <c r="AT78" s="39">
        <f>SUM(AK79:AK79)</f>
        <v>0</v>
      </c>
      <c r="AU78" s="39">
        <f>SUM(AL79:AL79)</f>
        <v>0</v>
      </c>
    </row>
    <row r="79" spans="1:64" ht="12.75">
      <c r="A79" s="4" t="s">
        <v>46</v>
      </c>
      <c r="B79" s="14" t="s">
        <v>114</v>
      </c>
      <c r="C79" s="90" t="s">
        <v>190</v>
      </c>
      <c r="D79" s="91"/>
      <c r="E79" s="91"/>
      <c r="F79" s="91"/>
      <c r="G79" s="91"/>
      <c r="H79" s="14" t="s">
        <v>215</v>
      </c>
      <c r="I79" s="23">
        <v>0.71</v>
      </c>
      <c r="J79" s="23">
        <v>0</v>
      </c>
      <c r="K79" s="23">
        <f>I79*AO79</f>
        <v>0</v>
      </c>
      <c r="L79" s="23">
        <f>I79*AP79</f>
        <v>0</v>
      </c>
      <c r="M79" s="41">
        <f>I79*J79</f>
        <v>0</v>
      </c>
      <c r="N79" s="6"/>
      <c r="Z79" s="33">
        <f>IF(AQ79="5",BJ79,0)</f>
        <v>0</v>
      </c>
      <c r="AB79" s="33">
        <f>IF(AQ79="1",BH79,0)</f>
        <v>0</v>
      </c>
      <c r="AC79" s="33">
        <f>IF(AQ79="1",BI79,0)</f>
        <v>0</v>
      </c>
      <c r="AD79" s="33">
        <f>IF(AQ79="7",BH79,0)</f>
        <v>0</v>
      </c>
      <c r="AE79" s="33">
        <f>IF(AQ79="7",BI79,0)</f>
        <v>0</v>
      </c>
      <c r="AF79" s="33">
        <f>IF(AQ79="2",BH79,0)</f>
        <v>0</v>
      </c>
      <c r="AG79" s="33">
        <f>IF(AQ79="2",BI79,0)</f>
        <v>0</v>
      </c>
      <c r="AH79" s="33">
        <f>IF(AQ79="0",BJ79,0)</f>
        <v>0</v>
      </c>
      <c r="AI79" s="32"/>
      <c r="AJ79" s="23">
        <f>IF(AN79=0,M79,0)</f>
        <v>0</v>
      </c>
      <c r="AK79" s="23">
        <f>IF(AN79=15,M79,0)</f>
        <v>0</v>
      </c>
      <c r="AL79" s="23">
        <f>IF(AN79=21,M79,0)</f>
        <v>0</v>
      </c>
      <c r="AN79" s="33">
        <v>0</v>
      </c>
      <c r="AO79" s="33">
        <f>J79*0</f>
        <v>0</v>
      </c>
      <c r="AP79" s="33">
        <f>J79*(1-0)</f>
        <v>0</v>
      </c>
      <c r="AQ79" s="34" t="s">
        <v>11</v>
      </c>
      <c r="AV79" s="33">
        <f>AW79+AX79</f>
        <v>0</v>
      </c>
      <c r="AW79" s="33">
        <f>I79*AO79</f>
        <v>0</v>
      </c>
      <c r="AX79" s="33">
        <f>I79*AP79</f>
        <v>0</v>
      </c>
      <c r="AY79" s="36" t="s">
        <v>252</v>
      </c>
      <c r="AZ79" s="36" t="s">
        <v>257</v>
      </c>
      <c r="BA79" s="32" t="s">
        <v>263</v>
      </c>
      <c r="BC79" s="33">
        <f>AW79+AX79</f>
        <v>0</v>
      </c>
      <c r="BD79" s="33">
        <f>J79/(100-BE79)*100</f>
        <v>0</v>
      </c>
      <c r="BE79" s="33">
        <v>0</v>
      </c>
      <c r="BF79" s="33">
        <f>79</f>
        <v>79</v>
      </c>
      <c r="BH79" s="23">
        <f>I79*AO79</f>
        <v>0</v>
      </c>
      <c r="BI79" s="23">
        <f>I79*AP79</f>
        <v>0</v>
      </c>
      <c r="BJ79" s="23">
        <f>I79*J79</f>
        <v>0</v>
      </c>
      <c r="BK79" s="23" t="s">
        <v>268</v>
      </c>
      <c r="BL79" s="33" t="s">
        <v>113</v>
      </c>
    </row>
    <row r="80" spans="1:47" ht="12.75">
      <c r="A80" s="5"/>
      <c r="B80" s="15" t="s">
        <v>115</v>
      </c>
      <c r="C80" s="95" t="s">
        <v>191</v>
      </c>
      <c r="D80" s="96"/>
      <c r="E80" s="96"/>
      <c r="F80" s="96"/>
      <c r="G80" s="96"/>
      <c r="H80" s="21" t="s">
        <v>6</v>
      </c>
      <c r="I80" s="21" t="s">
        <v>6</v>
      </c>
      <c r="J80" s="21" t="s">
        <v>6</v>
      </c>
      <c r="K80" s="39">
        <f>SUM(K81:K84)</f>
        <v>0</v>
      </c>
      <c r="L80" s="39">
        <f>SUM(L81:L84)</f>
        <v>0</v>
      </c>
      <c r="M80" s="42">
        <f>SUM(M81:M84)</f>
        <v>0</v>
      </c>
      <c r="N80" s="6"/>
      <c r="AI80" s="32"/>
      <c r="AS80" s="39">
        <f>SUM(AJ81:AJ84)</f>
        <v>0</v>
      </c>
      <c r="AT80" s="39">
        <f>SUM(AK81:AK84)</f>
        <v>0</v>
      </c>
      <c r="AU80" s="39">
        <f>SUM(AL81:AL84)</f>
        <v>0</v>
      </c>
    </row>
    <row r="81" spans="1:64" ht="12.75">
      <c r="A81" s="4" t="s">
        <v>47</v>
      </c>
      <c r="B81" s="14" t="s">
        <v>116</v>
      </c>
      <c r="C81" s="90" t="s">
        <v>192</v>
      </c>
      <c r="D81" s="91"/>
      <c r="E81" s="91"/>
      <c r="F81" s="91"/>
      <c r="G81" s="91"/>
      <c r="H81" s="14" t="s">
        <v>214</v>
      </c>
      <c r="I81" s="23">
        <v>1</v>
      </c>
      <c r="J81" s="23">
        <v>0</v>
      </c>
      <c r="K81" s="23">
        <f>I81*AO81</f>
        <v>0</v>
      </c>
      <c r="L81" s="23">
        <f>I81*AP81</f>
        <v>0</v>
      </c>
      <c r="M81" s="41">
        <f>I81*J81</f>
        <v>0</v>
      </c>
      <c r="N81" s="6"/>
      <c r="Z81" s="33">
        <f>IF(AQ81="5",BJ81,0)</f>
        <v>0</v>
      </c>
      <c r="AB81" s="33">
        <f>IF(AQ81="1",BH81,0)</f>
        <v>0</v>
      </c>
      <c r="AC81" s="33">
        <f>IF(AQ81="1",BI81,0)</f>
        <v>0</v>
      </c>
      <c r="AD81" s="33">
        <f>IF(AQ81="7",BH81,0)</f>
        <v>0</v>
      </c>
      <c r="AE81" s="33">
        <f>IF(AQ81="7",BI81,0)</f>
        <v>0</v>
      </c>
      <c r="AF81" s="33">
        <f>IF(AQ81="2",BH81,0)</f>
        <v>0</v>
      </c>
      <c r="AG81" s="33">
        <f>IF(AQ81="2",BI81,0)</f>
        <v>0</v>
      </c>
      <c r="AH81" s="33">
        <f>IF(AQ81="0",BJ81,0)</f>
        <v>0</v>
      </c>
      <c r="AI81" s="32"/>
      <c r="AJ81" s="23">
        <f>IF(AN81=0,M81,0)</f>
        <v>0</v>
      </c>
      <c r="AK81" s="23">
        <f>IF(AN81=15,M81,0)</f>
        <v>0</v>
      </c>
      <c r="AL81" s="23">
        <f>IF(AN81=21,M81,0)</f>
        <v>0</v>
      </c>
      <c r="AN81" s="33">
        <v>0</v>
      </c>
      <c r="AO81" s="33">
        <f>J81*0</f>
        <v>0</v>
      </c>
      <c r="AP81" s="33">
        <f>J81*(1-0)</f>
        <v>0</v>
      </c>
      <c r="AQ81" s="34" t="s">
        <v>11</v>
      </c>
      <c r="AV81" s="33">
        <f>AW81+AX81</f>
        <v>0</v>
      </c>
      <c r="AW81" s="33">
        <f>I81*AO81</f>
        <v>0</v>
      </c>
      <c r="AX81" s="33">
        <f>I81*AP81</f>
        <v>0</v>
      </c>
      <c r="AY81" s="36" t="s">
        <v>253</v>
      </c>
      <c r="AZ81" s="36" t="s">
        <v>257</v>
      </c>
      <c r="BA81" s="32" t="s">
        <v>263</v>
      </c>
      <c r="BC81" s="33">
        <f>AW81+AX81</f>
        <v>0</v>
      </c>
      <c r="BD81" s="33">
        <f>J81/(100-BE81)*100</f>
        <v>0</v>
      </c>
      <c r="BE81" s="33">
        <v>0</v>
      </c>
      <c r="BF81" s="33">
        <f>81</f>
        <v>81</v>
      </c>
      <c r="BH81" s="23">
        <f>I81*AO81</f>
        <v>0</v>
      </c>
      <c r="BI81" s="23">
        <f>I81*AP81</f>
        <v>0</v>
      </c>
      <c r="BJ81" s="23">
        <f>I81*J81</f>
        <v>0</v>
      </c>
      <c r="BK81" s="23" t="s">
        <v>268</v>
      </c>
      <c r="BL81" s="33" t="s">
        <v>115</v>
      </c>
    </row>
    <row r="82" spans="1:64" ht="12.75">
      <c r="A82" s="4" t="s">
        <v>48</v>
      </c>
      <c r="B82" s="14" t="s">
        <v>117</v>
      </c>
      <c r="C82" s="90" t="s">
        <v>193</v>
      </c>
      <c r="D82" s="91"/>
      <c r="E82" s="91"/>
      <c r="F82" s="91"/>
      <c r="G82" s="91"/>
      <c r="H82" s="14" t="s">
        <v>214</v>
      </c>
      <c r="I82" s="23">
        <v>1</v>
      </c>
      <c r="J82" s="23">
        <v>0</v>
      </c>
      <c r="K82" s="23">
        <f>I82*AO82</f>
        <v>0</v>
      </c>
      <c r="L82" s="23">
        <f>I82*AP82</f>
        <v>0</v>
      </c>
      <c r="M82" s="41">
        <f>I82*J82</f>
        <v>0</v>
      </c>
      <c r="N82" s="6"/>
      <c r="Z82" s="33">
        <f>IF(AQ82="5",BJ82,0)</f>
        <v>0</v>
      </c>
      <c r="AB82" s="33">
        <f>IF(AQ82="1",BH82,0)</f>
        <v>0</v>
      </c>
      <c r="AC82" s="33">
        <f>IF(AQ82="1",BI82,0)</f>
        <v>0</v>
      </c>
      <c r="AD82" s="33">
        <f>IF(AQ82="7",BH82,0)</f>
        <v>0</v>
      </c>
      <c r="AE82" s="33">
        <f>IF(AQ82="7",BI82,0)</f>
        <v>0</v>
      </c>
      <c r="AF82" s="33">
        <f>IF(AQ82="2",BH82,0)</f>
        <v>0</v>
      </c>
      <c r="AG82" s="33">
        <f>IF(AQ82="2",BI82,0)</f>
        <v>0</v>
      </c>
      <c r="AH82" s="33">
        <f>IF(AQ82="0",BJ82,0)</f>
        <v>0</v>
      </c>
      <c r="AI82" s="32"/>
      <c r="AJ82" s="23">
        <f>IF(AN82=0,M82,0)</f>
        <v>0</v>
      </c>
      <c r="AK82" s="23">
        <f>IF(AN82=15,M82,0)</f>
        <v>0</v>
      </c>
      <c r="AL82" s="23">
        <f>IF(AN82=21,M82,0)</f>
        <v>0</v>
      </c>
      <c r="AN82" s="33">
        <v>0</v>
      </c>
      <c r="AO82" s="33">
        <f>J82*0</f>
        <v>0</v>
      </c>
      <c r="AP82" s="33">
        <f>J82*(1-0)</f>
        <v>0</v>
      </c>
      <c r="AQ82" s="34" t="s">
        <v>11</v>
      </c>
      <c r="AV82" s="33">
        <f>AW82+AX82</f>
        <v>0</v>
      </c>
      <c r="AW82" s="33">
        <f>I82*AO82</f>
        <v>0</v>
      </c>
      <c r="AX82" s="33">
        <f>I82*AP82</f>
        <v>0</v>
      </c>
      <c r="AY82" s="36" t="s">
        <v>253</v>
      </c>
      <c r="AZ82" s="36" t="s">
        <v>257</v>
      </c>
      <c r="BA82" s="32" t="s">
        <v>263</v>
      </c>
      <c r="BC82" s="33">
        <f>AW82+AX82</f>
        <v>0</v>
      </c>
      <c r="BD82" s="33">
        <f>J82/(100-BE82)*100</f>
        <v>0</v>
      </c>
      <c r="BE82" s="33">
        <v>0</v>
      </c>
      <c r="BF82" s="33">
        <f>82</f>
        <v>82</v>
      </c>
      <c r="BH82" s="23">
        <f>I82*AO82</f>
        <v>0</v>
      </c>
      <c r="BI82" s="23">
        <f>I82*AP82</f>
        <v>0</v>
      </c>
      <c r="BJ82" s="23">
        <f>I82*J82</f>
        <v>0</v>
      </c>
      <c r="BK82" s="23" t="s">
        <v>268</v>
      </c>
      <c r="BL82" s="33" t="s">
        <v>115</v>
      </c>
    </row>
    <row r="83" spans="1:14" ht="12.75">
      <c r="A83" s="6"/>
      <c r="B83" s="16" t="s">
        <v>72</v>
      </c>
      <c r="C83" s="92" t="s">
        <v>194</v>
      </c>
      <c r="D83" s="93"/>
      <c r="E83" s="93"/>
      <c r="F83" s="93"/>
      <c r="G83" s="93"/>
      <c r="H83" s="93"/>
      <c r="I83" s="93"/>
      <c r="J83" s="93"/>
      <c r="K83" s="93"/>
      <c r="L83" s="93"/>
      <c r="M83" s="94"/>
      <c r="N83" s="6"/>
    </row>
    <row r="84" spans="1:64" ht="12.75">
      <c r="A84" s="4" t="s">
        <v>49</v>
      </c>
      <c r="B84" s="14" t="s">
        <v>118</v>
      </c>
      <c r="C84" s="90" t="s">
        <v>195</v>
      </c>
      <c r="D84" s="91"/>
      <c r="E84" s="91"/>
      <c r="F84" s="91"/>
      <c r="G84" s="91"/>
      <c r="H84" s="14" t="s">
        <v>214</v>
      </c>
      <c r="I84" s="23">
        <v>1</v>
      </c>
      <c r="J84" s="23">
        <v>0</v>
      </c>
      <c r="K84" s="23">
        <f>I84*AO84</f>
        <v>0</v>
      </c>
      <c r="L84" s="23">
        <f>I84*AP84</f>
        <v>0</v>
      </c>
      <c r="M84" s="41">
        <f>I84*J84</f>
        <v>0</v>
      </c>
      <c r="N84" s="6"/>
      <c r="Z84" s="33">
        <f>IF(AQ84="5",BJ84,0)</f>
        <v>0</v>
      </c>
      <c r="AB84" s="33">
        <f>IF(AQ84="1",BH84,0)</f>
        <v>0</v>
      </c>
      <c r="AC84" s="33">
        <f>IF(AQ84="1",BI84,0)</f>
        <v>0</v>
      </c>
      <c r="AD84" s="33">
        <f>IF(AQ84="7",BH84,0)</f>
        <v>0</v>
      </c>
      <c r="AE84" s="33">
        <f>IF(AQ84="7",BI84,0)</f>
        <v>0</v>
      </c>
      <c r="AF84" s="33">
        <f>IF(AQ84="2",BH84,0)</f>
        <v>0</v>
      </c>
      <c r="AG84" s="33">
        <f>IF(AQ84="2",BI84,0)</f>
        <v>0</v>
      </c>
      <c r="AH84" s="33">
        <f>IF(AQ84="0",BJ84,0)</f>
        <v>0</v>
      </c>
      <c r="AI84" s="32"/>
      <c r="AJ84" s="23">
        <f>IF(AN84=0,M84,0)</f>
        <v>0</v>
      </c>
      <c r="AK84" s="23">
        <f>IF(AN84=15,M84,0)</f>
        <v>0</v>
      </c>
      <c r="AL84" s="23">
        <f>IF(AN84=21,M84,0)</f>
        <v>0</v>
      </c>
      <c r="AN84" s="33">
        <v>0</v>
      </c>
      <c r="AO84" s="33">
        <f>J84*0</f>
        <v>0</v>
      </c>
      <c r="AP84" s="33">
        <f>J84*(1-0)</f>
        <v>0</v>
      </c>
      <c r="AQ84" s="34" t="s">
        <v>11</v>
      </c>
      <c r="AV84" s="33">
        <f>AW84+AX84</f>
        <v>0</v>
      </c>
      <c r="AW84" s="33">
        <f>I84*AO84</f>
        <v>0</v>
      </c>
      <c r="AX84" s="33">
        <f>I84*AP84</f>
        <v>0</v>
      </c>
      <c r="AY84" s="36" t="s">
        <v>253</v>
      </c>
      <c r="AZ84" s="36" t="s">
        <v>257</v>
      </c>
      <c r="BA84" s="32" t="s">
        <v>263</v>
      </c>
      <c r="BC84" s="33">
        <f>AW84+AX84</f>
        <v>0</v>
      </c>
      <c r="BD84" s="33">
        <f>J84/(100-BE84)*100</f>
        <v>0</v>
      </c>
      <c r="BE84" s="33">
        <v>0</v>
      </c>
      <c r="BF84" s="33">
        <f>84</f>
        <v>84</v>
      </c>
      <c r="BH84" s="23">
        <f>I84*AO84</f>
        <v>0</v>
      </c>
      <c r="BI84" s="23">
        <f>I84*AP84</f>
        <v>0</v>
      </c>
      <c r="BJ84" s="23">
        <f>I84*J84</f>
        <v>0</v>
      </c>
      <c r="BK84" s="23" t="s">
        <v>268</v>
      </c>
      <c r="BL84" s="33" t="s">
        <v>115</v>
      </c>
    </row>
    <row r="85" spans="1:47" ht="12.75">
      <c r="A85" s="5"/>
      <c r="B85" s="15"/>
      <c r="C85" s="95" t="s">
        <v>196</v>
      </c>
      <c r="D85" s="96"/>
      <c r="E85" s="96"/>
      <c r="F85" s="96"/>
      <c r="G85" s="96"/>
      <c r="H85" s="21" t="s">
        <v>6</v>
      </c>
      <c r="I85" s="21" t="s">
        <v>6</v>
      </c>
      <c r="J85" s="21" t="s">
        <v>6</v>
      </c>
      <c r="K85" s="39">
        <f>SUM(K86:K90)</f>
        <v>0</v>
      </c>
      <c r="L85" s="39">
        <f>SUM(L86:L90)</f>
        <v>0</v>
      </c>
      <c r="M85" s="42">
        <f>SUM(M86:M90)</f>
        <v>0</v>
      </c>
      <c r="N85" s="6"/>
      <c r="AI85" s="32"/>
      <c r="AS85" s="39">
        <f>SUM(AJ86:AJ90)</f>
        <v>0</v>
      </c>
      <c r="AT85" s="39">
        <f>SUM(AK86:AK90)</f>
        <v>0</v>
      </c>
      <c r="AU85" s="39">
        <f>SUM(AL86:AL90)</f>
        <v>0</v>
      </c>
    </row>
    <row r="86" spans="1:64" ht="12.75">
      <c r="A86" s="7" t="s">
        <v>50</v>
      </c>
      <c r="B86" s="17" t="s">
        <v>119</v>
      </c>
      <c r="C86" s="82" t="s">
        <v>197</v>
      </c>
      <c r="D86" s="83"/>
      <c r="E86" s="83"/>
      <c r="F86" s="83"/>
      <c r="G86" s="83"/>
      <c r="H86" s="17" t="s">
        <v>212</v>
      </c>
      <c r="I86" s="24">
        <v>1150</v>
      </c>
      <c r="J86" s="24">
        <v>0</v>
      </c>
      <c r="K86" s="24">
        <f>I86*AO86</f>
        <v>0</v>
      </c>
      <c r="L86" s="24">
        <f>I86*AP86</f>
        <v>0</v>
      </c>
      <c r="M86" s="43">
        <f>I86*J86</f>
        <v>0</v>
      </c>
      <c r="N86" s="6"/>
      <c r="Z86" s="33">
        <f>IF(AQ86="5",BJ86,0)</f>
        <v>0</v>
      </c>
      <c r="AB86" s="33">
        <f>IF(AQ86="1",BH86,0)</f>
        <v>0</v>
      </c>
      <c r="AC86" s="33">
        <f>IF(AQ86="1",BI86,0)</f>
        <v>0</v>
      </c>
      <c r="AD86" s="33">
        <f>IF(AQ86="7",BH86,0)</f>
        <v>0</v>
      </c>
      <c r="AE86" s="33">
        <f>IF(AQ86="7",BI86,0)</f>
        <v>0</v>
      </c>
      <c r="AF86" s="33">
        <f>IF(AQ86="2",BH86,0)</f>
        <v>0</v>
      </c>
      <c r="AG86" s="33">
        <f>IF(AQ86="2",BI86,0)</f>
        <v>0</v>
      </c>
      <c r="AH86" s="33">
        <f>IF(AQ86="0",BJ86,0)</f>
        <v>0</v>
      </c>
      <c r="AI86" s="32"/>
      <c r="AJ86" s="24">
        <f>IF(AN86=0,M86,0)</f>
        <v>0</v>
      </c>
      <c r="AK86" s="24">
        <f>IF(AN86=15,M86,0)</f>
        <v>0</v>
      </c>
      <c r="AL86" s="24">
        <f>IF(AN86=21,M86,0)</f>
        <v>0</v>
      </c>
      <c r="AN86" s="33">
        <v>0</v>
      </c>
      <c r="AO86" s="33">
        <f>J86*1</f>
        <v>0</v>
      </c>
      <c r="AP86" s="33">
        <f>J86*(1-1)</f>
        <v>0</v>
      </c>
      <c r="AQ86" s="35" t="s">
        <v>235</v>
      </c>
      <c r="AV86" s="33">
        <f>AW86+AX86</f>
        <v>0</v>
      </c>
      <c r="AW86" s="33">
        <f>I86*AO86</f>
        <v>0</v>
      </c>
      <c r="AX86" s="33">
        <f>I86*AP86</f>
        <v>0</v>
      </c>
      <c r="AY86" s="36" t="s">
        <v>254</v>
      </c>
      <c r="AZ86" s="36" t="s">
        <v>262</v>
      </c>
      <c r="BA86" s="32" t="s">
        <v>263</v>
      </c>
      <c r="BC86" s="33">
        <f>AW86+AX86</f>
        <v>0</v>
      </c>
      <c r="BD86" s="33">
        <f>J86/(100-BE86)*100</f>
        <v>0</v>
      </c>
      <c r="BE86" s="33">
        <v>0</v>
      </c>
      <c r="BF86" s="33">
        <f>86</f>
        <v>86</v>
      </c>
      <c r="BH86" s="24">
        <f>I86*AO86</f>
        <v>0</v>
      </c>
      <c r="BI86" s="24">
        <f>I86*AP86</f>
        <v>0</v>
      </c>
      <c r="BJ86" s="24">
        <f>I86*J86</f>
        <v>0</v>
      </c>
      <c r="BK86" s="24" t="s">
        <v>269</v>
      </c>
      <c r="BL86" s="33"/>
    </row>
    <row r="87" spans="1:64" ht="12.75">
      <c r="A87" s="7" t="s">
        <v>51</v>
      </c>
      <c r="B87" s="17" t="s">
        <v>120</v>
      </c>
      <c r="C87" s="82" t="s">
        <v>198</v>
      </c>
      <c r="D87" s="83"/>
      <c r="E87" s="83"/>
      <c r="F87" s="83"/>
      <c r="G87" s="83"/>
      <c r="H87" s="17" t="s">
        <v>213</v>
      </c>
      <c r="I87" s="24">
        <v>191</v>
      </c>
      <c r="J87" s="24">
        <v>0</v>
      </c>
      <c r="K87" s="24">
        <f>I87*AO87</f>
        <v>0</v>
      </c>
      <c r="L87" s="24">
        <f>I87*AP87</f>
        <v>0</v>
      </c>
      <c r="M87" s="43">
        <f>I87*J87</f>
        <v>0</v>
      </c>
      <c r="N87" s="6"/>
      <c r="Z87" s="33">
        <f>IF(AQ87="5",BJ87,0)</f>
        <v>0</v>
      </c>
      <c r="AB87" s="33">
        <f>IF(AQ87="1",BH87,0)</f>
        <v>0</v>
      </c>
      <c r="AC87" s="33">
        <f>IF(AQ87="1",BI87,0)</f>
        <v>0</v>
      </c>
      <c r="AD87" s="33">
        <f>IF(AQ87="7",BH87,0)</f>
        <v>0</v>
      </c>
      <c r="AE87" s="33">
        <f>IF(AQ87="7",BI87,0)</f>
        <v>0</v>
      </c>
      <c r="AF87" s="33">
        <f>IF(AQ87="2",BH87,0)</f>
        <v>0</v>
      </c>
      <c r="AG87" s="33">
        <f>IF(AQ87="2",BI87,0)</f>
        <v>0</v>
      </c>
      <c r="AH87" s="33">
        <f>IF(AQ87="0",BJ87,0)</f>
        <v>0</v>
      </c>
      <c r="AI87" s="32"/>
      <c r="AJ87" s="24">
        <f>IF(AN87=0,M87,0)</f>
        <v>0</v>
      </c>
      <c r="AK87" s="24">
        <f>IF(AN87=15,M87,0)</f>
        <v>0</v>
      </c>
      <c r="AL87" s="24">
        <f>IF(AN87=21,M87,0)</f>
        <v>0</v>
      </c>
      <c r="AN87" s="33">
        <v>0</v>
      </c>
      <c r="AO87" s="33">
        <f>J87*1</f>
        <v>0</v>
      </c>
      <c r="AP87" s="33">
        <f>J87*(1-1)</f>
        <v>0</v>
      </c>
      <c r="AQ87" s="35" t="s">
        <v>235</v>
      </c>
      <c r="AV87" s="33">
        <f>AW87+AX87</f>
        <v>0</v>
      </c>
      <c r="AW87" s="33">
        <f>I87*AO87</f>
        <v>0</v>
      </c>
      <c r="AX87" s="33">
        <f>I87*AP87</f>
        <v>0</v>
      </c>
      <c r="AY87" s="36" t="s">
        <v>254</v>
      </c>
      <c r="AZ87" s="36" t="s">
        <v>262</v>
      </c>
      <c r="BA87" s="32" t="s">
        <v>263</v>
      </c>
      <c r="BC87" s="33">
        <f>AW87+AX87</f>
        <v>0</v>
      </c>
      <c r="BD87" s="33">
        <f>J87/(100-BE87)*100</f>
        <v>0</v>
      </c>
      <c r="BE87" s="33">
        <v>0</v>
      </c>
      <c r="BF87" s="33">
        <f>87</f>
        <v>87</v>
      </c>
      <c r="BH87" s="24">
        <f>I87*AO87</f>
        <v>0</v>
      </c>
      <c r="BI87" s="24">
        <f>I87*AP87</f>
        <v>0</v>
      </c>
      <c r="BJ87" s="24">
        <f>I87*J87</f>
        <v>0</v>
      </c>
      <c r="BK87" s="24" t="s">
        <v>269</v>
      </c>
      <c r="BL87" s="33"/>
    </row>
    <row r="88" spans="1:64" ht="12.75">
      <c r="A88" s="7" t="s">
        <v>52</v>
      </c>
      <c r="B88" s="17" t="s">
        <v>121</v>
      </c>
      <c r="C88" s="82" t="s">
        <v>199</v>
      </c>
      <c r="D88" s="83"/>
      <c r="E88" s="83"/>
      <c r="F88" s="83"/>
      <c r="G88" s="83"/>
      <c r="H88" s="17" t="s">
        <v>212</v>
      </c>
      <c r="I88" s="24">
        <v>170</v>
      </c>
      <c r="J88" s="24">
        <v>0</v>
      </c>
      <c r="K88" s="24">
        <f>I88*AO88</f>
        <v>0</v>
      </c>
      <c r="L88" s="24">
        <f>I88*AP88</f>
        <v>0</v>
      </c>
      <c r="M88" s="43">
        <f>I88*J88</f>
        <v>0</v>
      </c>
      <c r="N88" s="6"/>
      <c r="Z88" s="33">
        <f>IF(AQ88="5",BJ88,0)</f>
        <v>0</v>
      </c>
      <c r="AB88" s="33">
        <f>IF(AQ88="1",BH88,0)</f>
        <v>0</v>
      </c>
      <c r="AC88" s="33">
        <f>IF(AQ88="1",BI88,0)</f>
        <v>0</v>
      </c>
      <c r="AD88" s="33">
        <f>IF(AQ88="7",BH88,0)</f>
        <v>0</v>
      </c>
      <c r="AE88" s="33">
        <f>IF(AQ88="7",BI88,0)</f>
        <v>0</v>
      </c>
      <c r="AF88" s="33">
        <f>IF(AQ88="2",BH88,0)</f>
        <v>0</v>
      </c>
      <c r="AG88" s="33">
        <f>IF(AQ88="2",BI88,0)</f>
        <v>0</v>
      </c>
      <c r="AH88" s="33">
        <f>IF(AQ88="0",BJ88,0)</f>
        <v>0</v>
      </c>
      <c r="AI88" s="32"/>
      <c r="AJ88" s="24">
        <f>IF(AN88=0,M88,0)</f>
        <v>0</v>
      </c>
      <c r="AK88" s="24">
        <f>IF(AN88=15,M88,0)</f>
        <v>0</v>
      </c>
      <c r="AL88" s="24">
        <f>IF(AN88=21,M88,0)</f>
        <v>0</v>
      </c>
      <c r="AN88" s="33">
        <v>0</v>
      </c>
      <c r="AO88" s="33">
        <f>J88*1</f>
        <v>0</v>
      </c>
      <c r="AP88" s="33">
        <f>J88*(1-1)</f>
        <v>0</v>
      </c>
      <c r="AQ88" s="35" t="s">
        <v>235</v>
      </c>
      <c r="AV88" s="33">
        <f>AW88+AX88</f>
        <v>0</v>
      </c>
      <c r="AW88" s="33">
        <f>I88*AO88</f>
        <v>0</v>
      </c>
      <c r="AX88" s="33">
        <f>I88*AP88</f>
        <v>0</v>
      </c>
      <c r="AY88" s="36" t="s">
        <v>254</v>
      </c>
      <c r="AZ88" s="36" t="s">
        <v>262</v>
      </c>
      <c r="BA88" s="32" t="s">
        <v>263</v>
      </c>
      <c r="BC88" s="33">
        <f>AW88+AX88</f>
        <v>0</v>
      </c>
      <c r="BD88" s="33">
        <f>J88/(100-BE88)*100</f>
        <v>0</v>
      </c>
      <c r="BE88" s="33">
        <v>0</v>
      </c>
      <c r="BF88" s="33">
        <f>88</f>
        <v>88</v>
      </c>
      <c r="BH88" s="24">
        <f>I88*AO88</f>
        <v>0</v>
      </c>
      <c r="BI88" s="24">
        <f>I88*AP88</f>
        <v>0</v>
      </c>
      <c r="BJ88" s="24">
        <f>I88*J88</f>
        <v>0</v>
      </c>
      <c r="BK88" s="24" t="s">
        <v>269</v>
      </c>
      <c r="BL88" s="33"/>
    </row>
    <row r="89" spans="1:64" ht="12.75">
      <c r="A89" s="7" t="s">
        <v>53</v>
      </c>
      <c r="B89" s="17" t="s">
        <v>122</v>
      </c>
      <c r="C89" s="82" t="s">
        <v>200</v>
      </c>
      <c r="D89" s="83"/>
      <c r="E89" s="83"/>
      <c r="F89" s="83"/>
      <c r="G89" s="83"/>
      <c r="H89" s="17" t="s">
        <v>211</v>
      </c>
      <c r="I89" s="24">
        <v>1</v>
      </c>
      <c r="J89" s="24">
        <v>0</v>
      </c>
      <c r="K89" s="24">
        <f>I89*AO89</f>
        <v>0</v>
      </c>
      <c r="L89" s="24">
        <f>I89*AP89</f>
        <v>0</v>
      </c>
      <c r="M89" s="43">
        <f>I89*J89</f>
        <v>0</v>
      </c>
      <c r="N89" s="6"/>
      <c r="Z89" s="33">
        <f>IF(AQ89="5",BJ89,0)</f>
        <v>0</v>
      </c>
      <c r="AB89" s="33">
        <f>IF(AQ89="1",BH89,0)</f>
        <v>0</v>
      </c>
      <c r="AC89" s="33">
        <f>IF(AQ89="1",BI89,0)</f>
        <v>0</v>
      </c>
      <c r="AD89" s="33">
        <f>IF(AQ89="7",BH89,0)</f>
        <v>0</v>
      </c>
      <c r="AE89" s="33">
        <f>IF(AQ89="7",BI89,0)</f>
        <v>0</v>
      </c>
      <c r="AF89" s="33">
        <f>IF(AQ89="2",BH89,0)</f>
        <v>0</v>
      </c>
      <c r="AG89" s="33">
        <f>IF(AQ89="2",BI89,0)</f>
        <v>0</v>
      </c>
      <c r="AH89" s="33">
        <f>IF(AQ89="0",BJ89,0)</f>
        <v>0</v>
      </c>
      <c r="AI89" s="32"/>
      <c r="AJ89" s="24">
        <f>IF(AN89=0,M89,0)</f>
        <v>0</v>
      </c>
      <c r="AK89" s="24">
        <f>IF(AN89=15,M89,0)</f>
        <v>0</v>
      </c>
      <c r="AL89" s="24">
        <f>IF(AN89=21,M89,0)</f>
        <v>0</v>
      </c>
      <c r="AN89" s="33">
        <v>0</v>
      </c>
      <c r="AO89" s="33">
        <f>J89*1</f>
        <v>0</v>
      </c>
      <c r="AP89" s="33">
        <f>J89*(1-1)</f>
        <v>0</v>
      </c>
      <c r="AQ89" s="35" t="s">
        <v>235</v>
      </c>
      <c r="AV89" s="33">
        <f>AW89+AX89</f>
        <v>0</v>
      </c>
      <c r="AW89" s="33">
        <f>I89*AO89</f>
        <v>0</v>
      </c>
      <c r="AX89" s="33">
        <f>I89*AP89</f>
        <v>0</v>
      </c>
      <c r="AY89" s="36" t="s">
        <v>254</v>
      </c>
      <c r="AZ89" s="36" t="s">
        <v>262</v>
      </c>
      <c r="BA89" s="32" t="s">
        <v>263</v>
      </c>
      <c r="BC89" s="33">
        <f>AW89+AX89</f>
        <v>0</v>
      </c>
      <c r="BD89" s="33">
        <f>J89/(100-BE89)*100</f>
        <v>0</v>
      </c>
      <c r="BE89" s="33">
        <v>0</v>
      </c>
      <c r="BF89" s="33">
        <f>89</f>
        <v>89</v>
      </c>
      <c r="BH89" s="24">
        <f>I89*AO89</f>
        <v>0</v>
      </c>
      <c r="BI89" s="24">
        <f>I89*AP89</f>
        <v>0</v>
      </c>
      <c r="BJ89" s="24">
        <f>I89*J89</f>
        <v>0</v>
      </c>
      <c r="BK89" s="24" t="s">
        <v>269</v>
      </c>
      <c r="BL89" s="33"/>
    </row>
    <row r="90" spans="1:64" ht="12.75">
      <c r="A90" s="8" t="s">
        <v>54</v>
      </c>
      <c r="B90" s="18" t="s">
        <v>123</v>
      </c>
      <c r="C90" s="84" t="s">
        <v>201</v>
      </c>
      <c r="D90" s="85"/>
      <c r="E90" s="85"/>
      <c r="F90" s="85"/>
      <c r="G90" s="85"/>
      <c r="H90" s="18" t="s">
        <v>216</v>
      </c>
      <c r="I90" s="25">
        <v>109</v>
      </c>
      <c r="J90" s="25">
        <v>0</v>
      </c>
      <c r="K90" s="25">
        <f>I90*AO90</f>
        <v>0</v>
      </c>
      <c r="L90" s="25">
        <f>I90*AP90</f>
        <v>0</v>
      </c>
      <c r="M90" s="44">
        <f>I90*J90</f>
        <v>0</v>
      </c>
      <c r="N90" s="6"/>
      <c r="Z90" s="33">
        <f>IF(AQ90="5",BJ90,0)</f>
        <v>0</v>
      </c>
      <c r="AB90" s="33">
        <f>IF(AQ90="1",BH90,0)</f>
        <v>0</v>
      </c>
      <c r="AC90" s="33">
        <f>IF(AQ90="1",BI90,0)</f>
        <v>0</v>
      </c>
      <c r="AD90" s="33">
        <f>IF(AQ90="7",BH90,0)</f>
        <v>0</v>
      </c>
      <c r="AE90" s="33">
        <f>IF(AQ90="7",BI90,0)</f>
        <v>0</v>
      </c>
      <c r="AF90" s="33">
        <f>IF(AQ90="2",BH90,0)</f>
        <v>0</v>
      </c>
      <c r="AG90" s="33">
        <f>IF(AQ90="2",BI90,0)</f>
        <v>0</v>
      </c>
      <c r="AH90" s="33">
        <f>IF(AQ90="0",BJ90,0)</f>
        <v>0</v>
      </c>
      <c r="AI90" s="32"/>
      <c r="AJ90" s="24">
        <f>IF(AN90=0,M90,0)</f>
        <v>0</v>
      </c>
      <c r="AK90" s="24">
        <f>IF(AN90=15,M90,0)</f>
        <v>0</v>
      </c>
      <c r="AL90" s="24">
        <f>IF(AN90=21,M90,0)</f>
        <v>0</v>
      </c>
      <c r="AN90" s="33">
        <v>0</v>
      </c>
      <c r="AO90" s="33">
        <f>J90*1</f>
        <v>0</v>
      </c>
      <c r="AP90" s="33">
        <f>J90*(1-1)</f>
        <v>0</v>
      </c>
      <c r="AQ90" s="35" t="s">
        <v>235</v>
      </c>
      <c r="AV90" s="33">
        <f>AW90+AX90</f>
        <v>0</v>
      </c>
      <c r="AW90" s="33">
        <f>I90*AO90</f>
        <v>0</v>
      </c>
      <c r="AX90" s="33">
        <f>I90*AP90</f>
        <v>0</v>
      </c>
      <c r="AY90" s="36" t="s">
        <v>254</v>
      </c>
      <c r="AZ90" s="36" t="s">
        <v>262</v>
      </c>
      <c r="BA90" s="32" t="s">
        <v>263</v>
      </c>
      <c r="BC90" s="33">
        <f>AW90+AX90</f>
        <v>0</v>
      </c>
      <c r="BD90" s="33">
        <f>J90/(100-BE90)*100</f>
        <v>0</v>
      </c>
      <c r="BE90" s="33">
        <v>0</v>
      </c>
      <c r="BF90" s="33">
        <f>90</f>
        <v>90</v>
      </c>
      <c r="BH90" s="24">
        <f>I90*AO90</f>
        <v>0</v>
      </c>
      <c r="BI90" s="24">
        <f>I90*AP90</f>
        <v>0</v>
      </c>
      <c r="BJ90" s="24">
        <f>I90*J90</f>
        <v>0</v>
      </c>
      <c r="BK90" s="24" t="s">
        <v>269</v>
      </c>
      <c r="BL90" s="33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86" t="s">
        <v>223</v>
      </c>
      <c r="L91" s="87"/>
      <c r="M91" s="45">
        <f>M12+M14+M19+M21+M23+M39+M46+M49+M52+M54+M64+M66+M68+M72+M74+M76+M78+M80+M85</f>
        <v>0</v>
      </c>
    </row>
    <row r="92" ht="11.25" customHeight="1">
      <c r="A92" s="10" t="s">
        <v>55</v>
      </c>
    </row>
    <row r="93" spans="1:13" ht="12.75">
      <c r="A93" s="88" t="s">
        <v>56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</sheetData>
  <sheetProtection/>
  <mergeCells count="109">
    <mergeCell ref="A1:M1"/>
    <mergeCell ref="A2:B3"/>
    <mergeCell ref="C2:D3"/>
    <mergeCell ref="E2:F3"/>
    <mergeCell ref="G2:G3"/>
    <mergeCell ref="H2:I3"/>
    <mergeCell ref="J2:M3"/>
    <mergeCell ref="A4:B5"/>
    <mergeCell ref="C4:D5"/>
    <mergeCell ref="E4:F5"/>
    <mergeCell ref="G4:G5"/>
    <mergeCell ref="H4:I5"/>
    <mergeCell ref="J4:M5"/>
    <mergeCell ref="A6:B7"/>
    <mergeCell ref="C6:D7"/>
    <mergeCell ref="E6:F7"/>
    <mergeCell ref="G6:G7"/>
    <mergeCell ref="H6:I7"/>
    <mergeCell ref="J6:M7"/>
    <mergeCell ref="A8:B9"/>
    <mergeCell ref="C8:D9"/>
    <mergeCell ref="E8:F9"/>
    <mergeCell ref="G8:G9"/>
    <mergeCell ref="H8:I9"/>
    <mergeCell ref="J8:M9"/>
    <mergeCell ref="C10:G10"/>
    <mergeCell ref="K10:M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M27"/>
    <mergeCell ref="C28:G28"/>
    <mergeCell ref="C29:M29"/>
    <mergeCell ref="C30:G30"/>
    <mergeCell ref="C31:M31"/>
    <mergeCell ref="C32:G32"/>
    <mergeCell ref="C33:M33"/>
    <mergeCell ref="C34:G34"/>
    <mergeCell ref="C35:G35"/>
    <mergeCell ref="C36:M36"/>
    <mergeCell ref="C37:G37"/>
    <mergeCell ref="C38:M38"/>
    <mergeCell ref="C39:G39"/>
    <mergeCell ref="C40:G40"/>
    <mergeCell ref="C41:M41"/>
    <mergeCell ref="C42:G42"/>
    <mergeCell ref="C43:M43"/>
    <mergeCell ref="C44:G44"/>
    <mergeCell ref="C45:M45"/>
    <mergeCell ref="C46:G46"/>
    <mergeCell ref="C47:G47"/>
    <mergeCell ref="C48:G48"/>
    <mergeCell ref="C49:G49"/>
    <mergeCell ref="C50:G50"/>
    <mergeCell ref="C51:M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M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M83"/>
    <mergeCell ref="C84:G84"/>
    <mergeCell ref="C85:G85"/>
    <mergeCell ref="C86:G86"/>
    <mergeCell ref="C87:G87"/>
    <mergeCell ref="C88:G88"/>
    <mergeCell ref="C89:G89"/>
    <mergeCell ref="C90:G90"/>
    <mergeCell ref="K91:L91"/>
    <mergeCell ref="A93:M9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3" sqref="M13:M14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19" t="s">
        <v>271</v>
      </c>
      <c r="B1" s="120"/>
      <c r="C1" s="120"/>
      <c r="D1" s="120"/>
      <c r="E1" s="120"/>
      <c r="F1" s="120"/>
      <c r="G1" s="120"/>
    </row>
    <row r="2" spans="1:8" ht="12.75">
      <c r="A2" s="121" t="s">
        <v>1</v>
      </c>
      <c r="B2" s="122"/>
      <c r="C2" s="123" t="str">
        <f>'Stavební rozpočet'!C2</f>
        <v>Oprava střechy budova H</v>
      </c>
      <c r="D2" s="125" t="s">
        <v>202</v>
      </c>
      <c r="E2" s="125" t="s">
        <v>6</v>
      </c>
      <c r="F2" s="126" t="s">
        <v>206</v>
      </c>
      <c r="G2" s="131" t="str">
        <f>'Stavební rozpočet'!J2</f>
        <v> </v>
      </c>
      <c r="H2" s="6"/>
    </row>
    <row r="3" spans="1:8" ht="12.75">
      <c r="A3" s="118"/>
      <c r="B3" s="89"/>
      <c r="C3" s="124"/>
      <c r="D3" s="89"/>
      <c r="E3" s="89"/>
      <c r="F3" s="89"/>
      <c r="G3" s="116"/>
      <c r="H3" s="6"/>
    </row>
    <row r="4" spans="1:8" ht="12.75">
      <c r="A4" s="112" t="s">
        <v>2</v>
      </c>
      <c r="B4" s="89"/>
      <c r="C4" s="88"/>
      <c r="D4" s="115" t="s">
        <v>203</v>
      </c>
      <c r="E4" s="115" t="s">
        <v>6</v>
      </c>
      <c r="F4" s="88" t="s">
        <v>207</v>
      </c>
      <c r="G4" s="130" t="str">
        <f>'Stavební rozpočet'!J4</f>
        <v> </v>
      </c>
      <c r="H4" s="6"/>
    </row>
    <row r="5" spans="1:8" ht="12.75">
      <c r="A5" s="118"/>
      <c r="B5" s="89"/>
      <c r="C5" s="89"/>
      <c r="D5" s="89"/>
      <c r="E5" s="89"/>
      <c r="F5" s="89"/>
      <c r="G5" s="116"/>
      <c r="H5" s="6"/>
    </row>
    <row r="6" spans="1:8" ht="12.75">
      <c r="A6" s="112" t="s">
        <v>3</v>
      </c>
      <c r="B6" s="89"/>
      <c r="C6" s="88" t="str">
        <f>'Stavební rozpočet'!C6</f>
        <v>Kochova 1185, Chomutov</v>
      </c>
      <c r="D6" s="115" t="s">
        <v>204</v>
      </c>
      <c r="E6" s="115" t="s">
        <v>6</v>
      </c>
      <c r="F6" s="88" t="s">
        <v>208</v>
      </c>
      <c r="G6" s="130"/>
      <c r="H6" s="6"/>
    </row>
    <row r="7" spans="1:8" ht="12.75">
      <c r="A7" s="118"/>
      <c r="B7" s="89"/>
      <c r="C7" s="89"/>
      <c r="D7" s="89"/>
      <c r="E7" s="89"/>
      <c r="F7" s="89"/>
      <c r="G7" s="116"/>
      <c r="H7" s="6"/>
    </row>
    <row r="8" spans="1:8" ht="12.75">
      <c r="A8" s="112" t="s">
        <v>209</v>
      </c>
      <c r="B8" s="89"/>
      <c r="C8" s="88"/>
      <c r="D8" s="115" t="s">
        <v>205</v>
      </c>
      <c r="E8" s="115"/>
      <c r="F8" s="115" t="s">
        <v>205</v>
      </c>
      <c r="G8" s="130"/>
      <c r="H8" s="6"/>
    </row>
    <row r="9" spans="1:8" ht="12.75">
      <c r="A9" s="113"/>
      <c r="B9" s="114"/>
      <c r="C9" s="114"/>
      <c r="D9" s="129"/>
      <c r="E9" s="114"/>
      <c r="F9" s="114"/>
      <c r="G9" s="117"/>
      <c r="H9" s="6"/>
    </row>
    <row r="10" spans="1:8" ht="12.75">
      <c r="A10" s="46" t="s">
        <v>272</v>
      </c>
      <c r="B10" s="49" t="s">
        <v>57</v>
      </c>
      <c r="C10" s="51" t="s">
        <v>273</v>
      </c>
      <c r="D10" s="52"/>
      <c r="E10" s="53" t="s">
        <v>274</v>
      </c>
      <c r="F10" s="53" t="s">
        <v>275</v>
      </c>
      <c r="G10" s="53" t="s">
        <v>276</v>
      </c>
      <c r="H10" s="6"/>
    </row>
    <row r="11" spans="1:9" ht="12.75">
      <c r="A11" s="47"/>
      <c r="B11" s="50" t="s">
        <v>37</v>
      </c>
      <c r="C11" s="128" t="s">
        <v>127</v>
      </c>
      <c r="D11" s="89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277</v>
      </c>
      <c r="I11" s="33">
        <f aca="true" t="shared" si="0" ref="I11:I29">IF(H11="F",0,G11)</f>
        <v>0</v>
      </c>
    </row>
    <row r="12" spans="1:9" ht="12.75">
      <c r="A12" s="48"/>
      <c r="B12" s="19" t="s">
        <v>59</v>
      </c>
      <c r="C12" s="115" t="s">
        <v>129</v>
      </c>
      <c r="D12" s="89"/>
      <c r="E12" s="33">
        <f>'Stavební rozpočet'!K14</f>
        <v>0</v>
      </c>
      <c r="F12" s="33">
        <f>'Stavební rozpočet'!L14</f>
        <v>0</v>
      </c>
      <c r="G12" s="33">
        <f>'Stavební rozpočet'!M14</f>
        <v>0</v>
      </c>
      <c r="H12" s="33" t="s">
        <v>277</v>
      </c>
      <c r="I12" s="33">
        <f t="shared" si="0"/>
        <v>0</v>
      </c>
    </row>
    <row r="13" spans="1:9" ht="12.75">
      <c r="A13" s="48"/>
      <c r="B13" s="19" t="s">
        <v>64</v>
      </c>
      <c r="C13" s="115" t="s">
        <v>134</v>
      </c>
      <c r="D13" s="89"/>
      <c r="E13" s="33">
        <f>'Stavební rozpočet'!K19</f>
        <v>0</v>
      </c>
      <c r="F13" s="33">
        <f>'Stavební rozpočet'!L19</f>
        <v>0</v>
      </c>
      <c r="G13" s="33">
        <f>'Stavební rozpočet'!M19</f>
        <v>0</v>
      </c>
      <c r="H13" s="33" t="s">
        <v>277</v>
      </c>
      <c r="I13" s="33">
        <f t="shared" si="0"/>
        <v>0</v>
      </c>
    </row>
    <row r="14" spans="1:9" ht="12.75">
      <c r="A14" s="48"/>
      <c r="B14" s="19" t="s">
        <v>66</v>
      </c>
      <c r="C14" s="115" t="s">
        <v>136</v>
      </c>
      <c r="D14" s="89"/>
      <c r="E14" s="33">
        <f>'Stavební rozpočet'!K21</f>
        <v>0</v>
      </c>
      <c r="F14" s="33">
        <f>'Stavební rozpočet'!L21</f>
        <v>0</v>
      </c>
      <c r="G14" s="33">
        <f>'Stavební rozpočet'!M21</f>
        <v>0</v>
      </c>
      <c r="H14" s="33" t="s">
        <v>277</v>
      </c>
      <c r="I14" s="33">
        <f t="shared" si="0"/>
        <v>0</v>
      </c>
    </row>
    <row r="15" spans="1:9" ht="12.75">
      <c r="A15" s="48"/>
      <c r="B15" s="19" t="s">
        <v>68</v>
      </c>
      <c r="C15" s="115" t="s">
        <v>138</v>
      </c>
      <c r="D15" s="89"/>
      <c r="E15" s="33">
        <f>'Stavební rozpočet'!K23</f>
        <v>0</v>
      </c>
      <c r="F15" s="33">
        <f>'Stavební rozpočet'!L23</f>
        <v>0</v>
      </c>
      <c r="G15" s="33">
        <f>'Stavební rozpočet'!M23</f>
        <v>0</v>
      </c>
      <c r="H15" s="33" t="s">
        <v>277</v>
      </c>
      <c r="I15" s="33">
        <f t="shared" si="0"/>
        <v>0</v>
      </c>
    </row>
    <row r="16" spans="1:9" ht="12.75">
      <c r="A16" s="48"/>
      <c r="B16" s="19" t="s">
        <v>79</v>
      </c>
      <c r="C16" s="115" t="s">
        <v>153</v>
      </c>
      <c r="D16" s="89"/>
      <c r="E16" s="33">
        <f>'Stavební rozpočet'!K39</f>
        <v>0</v>
      </c>
      <c r="F16" s="33">
        <f>'Stavební rozpočet'!L39</f>
        <v>0</v>
      </c>
      <c r="G16" s="33">
        <f>'Stavební rozpočet'!M39</f>
        <v>0</v>
      </c>
      <c r="H16" s="33" t="s">
        <v>277</v>
      </c>
      <c r="I16" s="33">
        <f t="shared" si="0"/>
        <v>0</v>
      </c>
    </row>
    <row r="17" spans="1:9" ht="12.75">
      <c r="A17" s="48"/>
      <c r="B17" s="19" t="s">
        <v>83</v>
      </c>
      <c r="C17" s="115" t="s">
        <v>160</v>
      </c>
      <c r="D17" s="89"/>
      <c r="E17" s="33">
        <f>'Stavební rozpočet'!K46</f>
        <v>0</v>
      </c>
      <c r="F17" s="33">
        <f>'Stavební rozpočet'!L46</f>
        <v>0</v>
      </c>
      <c r="G17" s="33">
        <f>'Stavební rozpočet'!M46</f>
        <v>0</v>
      </c>
      <c r="H17" s="33" t="s">
        <v>277</v>
      </c>
      <c r="I17" s="33">
        <f t="shared" si="0"/>
        <v>0</v>
      </c>
    </row>
    <row r="18" spans="1:9" ht="12.75">
      <c r="A18" s="48"/>
      <c r="B18" s="19" t="s">
        <v>86</v>
      </c>
      <c r="C18" s="115" t="s">
        <v>163</v>
      </c>
      <c r="D18" s="89"/>
      <c r="E18" s="33">
        <f>'Stavební rozpočet'!K49</f>
        <v>0</v>
      </c>
      <c r="F18" s="33">
        <f>'Stavební rozpočet'!L49</f>
        <v>0</v>
      </c>
      <c r="G18" s="33">
        <f>'Stavební rozpočet'!M49</f>
        <v>0</v>
      </c>
      <c r="H18" s="33" t="s">
        <v>277</v>
      </c>
      <c r="I18" s="33">
        <f t="shared" si="0"/>
        <v>0</v>
      </c>
    </row>
    <row r="19" spans="1:9" ht="12.75">
      <c r="A19" s="48"/>
      <c r="B19" s="19" t="s">
        <v>88</v>
      </c>
      <c r="C19" s="115" t="s">
        <v>166</v>
      </c>
      <c r="D19" s="89"/>
      <c r="E19" s="33">
        <f>'Stavební rozpočet'!K52</f>
        <v>0</v>
      </c>
      <c r="F19" s="33">
        <f>'Stavební rozpočet'!L52</f>
        <v>0</v>
      </c>
      <c r="G19" s="33">
        <f>'Stavební rozpočet'!M52</f>
        <v>0</v>
      </c>
      <c r="H19" s="33" t="s">
        <v>277</v>
      </c>
      <c r="I19" s="33">
        <f t="shared" si="0"/>
        <v>0</v>
      </c>
    </row>
    <row r="20" spans="1:9" ht="12.75">
      <c r="A20" s="48"/>
      <c r="B20" s="19" t="s">
        <v>90</v>
      </c>
      <c r="C20" s="115" t="s">
        <v>168</v>
      </c>
      <c r="D20" s="89"/>
      <c r="E20" s="33">
        <f>'Stavební rozpočet'!K54</f>
        <v>0</v>
      </c>
      <c r="F20" s="33">
        <f>'Stavební rozpočet'!L54</f>
        <v>0</v>
      </c>
      <c r="G20" s="33">
        <f>'Stavební rozpočet'!M54</f>
        <v>0</v>
      </c>
      <c r="H20" s="33" t="s">
        <v>277</v>
      </c>
      <c r="I20" s="33">
        <f t="shared" si="0"/>
        <v>0</v>
      </c>
    </row>
    <row r="21" spans="1:9" ht="12.75">
      <c r="A21" s="48"/>
      <c r="B21" s="19" t="s">
        <v>100</v>
      </c>
      <c r="C21" s="115" t="s">
        <v>178</v>
      </c>
      <c r="D21" s="89"/>
      <c r="E21" s="33">
        <f>'Stavební rozpočet'!K64</f>
        <v>0</v>
      </c>
      <c r="F21" s="33">
        <f>'Stavební rozpočet'!L64</f>
        <v>0</v>
      </c>
      <c r="G21" s="33">
        <f>'Stavební rozpočet'!M64</f>
        <v>0</v>
      </c>
      <c r="H21" s="33" t="s">
        <v>277</v>
      </c>
      <c r="I21" s="33">
        <f t="shared" si="0"/>
        <v>0</v>
      </c>
    </row>
    <row r="22" spans="1:9" ht="12.75">
      <c r="A22" s="48"/>
      <c r="B22" s="19" t="s">
        <v>102</v>
      </c>
      <c r="C22" s="115" t="s">
        <v>180</v>
      </c>
      <c r="D22" s="89"/>
      <c r="E22" s="33">
        <f>'Stavební rozpočet'!K66</f>
        <v>0</v>
      </c>
      <c r="F22" s="33">
        <f>'Stavební rozpočet'!L66</f>
        <v>0</v>
      </c>
      <c r="G22" s="33">
        <f>'Stavební rozpočet'!M66</f>
        <v>0</v>
      </c>
      <c r="H22" s="33" t="s">
        <v>277</v>
      </c>
      <c r="I22" s="33">
        <f t="shared" si="0"/>
        <v>0</v>
      </c>
    </row>
    <row r="23" spans="1:9" ht="12.75">
      <c r="A23" s="48"/>
      <c r="B23" s="19" t="s">
        <v>104</v>
      </c>
      <c r="C23" s="115" t="s">
        <v>182</v>
      </c>
      <c r="D23" s="89"/>
      <c r="E23" s="33">
        <f>'Stavební rozpočet'!K68</f>
        <v>0</v>
      </c>
      <c r="F23" s="33">
        <f>'Stavební rozpočet'!L68</f>
        <v>0</v>
      </c>
      <c r="G23" s="33">
        <f>'Stavební rozpočet'!M68</f>
        <v>0</v>
      </c>
      <c r="H23" s="33" t="s">
        <v>277</v>
      </c>
      <c r="I23" s="33">
        <f t="shared" si="0"/>
        <v>0</v>
      </c>
    </row>
    <row r="24" spans="1:9" ht="12.75">
      <c r="A24" s="48"/>
      <c r="B24" s="19" t="s">
        <v>107</v>
      </c>
      <c r="C24" s="115" t="s">
        <v>186</v>
      </c>
      <c r="D24" s="89"/>
      <c r="E24" s="33">
        <f>'Stavební rozpočet'!K72</f>
        <v>0</v>
      </c>
      <c r="F24" s="33">
        <f>'Stavební rozpočet'!L72</f>
        <v>0</v>
      </c>
      <c r="G24" s="33">
        <f>'Stavební rozpočet'!M72</f>
        <v>0</v>
      </c>
      <c r="H24" s="33" t="s">
        <v>277</v>
      </c>
      <c r="I24" s="33">
        <f t="shared" si="0"/>
        <v>0</v>
      </c>
    </row>
    <row r="25" spans="1:9" ht="12.75">
      <c r="A25" s="48"/>
      <c r="B25" s="19" t="s">
        <v>109</v>
      </c>
      <c r="C25" s="115" t="s">
        <v>138</v>
      </c>
      <c r="D25" s="89"/>
      <c r="E25" s="33">
        <f>'Stavební rozpočet'!K74</f>
        <v>0</v>
      </c>
      <c r="F25" s="33">
        <f>'Stavební rozpočet'!L74</f>
        <v>0</v>
      </c>
      <c r="G25" s="33">
        <f>'Stavební rozpočet'!M74</f>
        <v>0</v>
      </c>
      <c r="H25" s="33" t="s">
        <v>277</v>
      </c>
      <c r="I25" s="33">
        <f t="shared" si="0"/>
        <v>0</v>
      </c>
    </row>
    <row r="26" spans="1:9" ht="12.75">
      <c r="A26" s="48"/>
      <c r="B26" s="19" t="s">
        <v>111</v>
      </c>
      <c r="C26" s="115" t="s">
        <v>153</v>
      </c>
      <c r="D26" s="89"/>
      <c r="E26" s="33">
        <f>'Stavební rozpočet'!K76</f>
        <v>0</v>
      </c>
      <c r="F26" s="33">
        <f>'Stavební rozpočet'!L76</f>
        <v>0</v>
      </c>
      <c r="G26" s="33">
        <f>'Stavební rozpočet'!M76</f>
        <v>0</v>
      </c>
      <c r="H26" s="33" t="s">
        <v>277</v>
      </c>
      <c r="I26" s="33">
        <f t="shared" si="0"/>
        <v>0</v>
      </c>
    </row>
    <row r="27" spans="1:9" ht="12.75">
      <c r="A27" s="48"/>
      <c r="B27" s="19" t="s">
        <v>113</v>
      </c>
      <c r="C27" s="115" t="s">
        <v>168</v>
      </c>
      <c r="D27" s="89"/>
      <c r="E27" s="33">
        <f>'Stavební rozpočet'!K78</f>
        <v>0</v>
      </c>
      <c r="F27" s="33">
        <f>'Stavební rozpočet'!L78</f>
        <v>0</v>
      </c>
      <c r="G27" s="33">
        <f>'Stavební rozpočet'!M78</f>
        <v>0</v>
      </c>
      <c r="H27" s="33" t="s">
        <v>277</v>
      </c>
      <c r="I27" s="33">
        <f t="shared" si="0"/>
        <v>0</v>
      </c>
    </row>
    <row r="28" spans="1:9" ht="12.75">
      <c r="A28" s="48"/>
      <c r="B28" s="19" t="s">
        <v>115</v>
      </c>
      <c r="C28" s="115" t="s">
        <v>191</v>
      </c>
      <c r="D28" s="89"/>
      <c r="E28" s="33">
        <f>'Stavební rozpočet'!K80</f>
        <v>0</v>
      </c>
      <c r="F28" s="33">
        <f>'Stavební rozpočet'!L80</f>
        <v>0</v>
      </c>
      <c r="G28" s="33">
        <f>'Stavební rozpočet'!M80</f>
        <v>0</v>
      </c>
      <c r="H28" s="33" t="s">
        <v>277</v>
      </c>
      <c r="I28" s="33">
        <f t="shared" si="0"/>
        <v>0</v>
      </c>
    </row>
    <row r="29" spans="1:9" ht="12.75">
      <c r="A29" s="48"/>
      <c r="B29" s="19"/>
      <c r="C29" s="115" t="s">
        <v>196</v>
      </c>
      <c r="D29" s="89"/>
      <c r="E29" s="33">
        <f>'Stavební rozpočet'!K85</f>
        <v>0</v>
      </c>
      <c r="F29" s="33">
        <f>'Stavební rozpočet'!L85</f>
        <v>0</v>
      </c>
      <c r="G29" s="33">
        <f>'Stavební rozpočet'!M85</f>
        <v>0</v>
      </c>
      <c r="H29" s="33" t="s">
        <v>277</v>
      </c>
      <c r="I29" s="33">
        <f t="shared" si="0"/>
        <v>0</v>
      </c>
    </row>
    <row r="30" spans="6:7" ht="12.75">
      <c r="F30" s="54" t="s">
        <v>223</v>
      </c>
      <c r="G30" s="56">
        <f>SUM(I11:I29)</f>
        <v>0</v>
      </c>
    </row>
  </sheetData>
  <sheetProtection/>
  <mergeCells count="44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23:D23"/>
    <mergeCell ref="C24:D24"/>
    <mergeCell ref="C25:D25"/>
    <mergeCell ref="C26:D26"/>
    <mergeCell ref="C27:D27"/>
    <mergeCell ref="C28:D2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9" sqref="K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54" t="s">
        <v>292</v>
      </c>
      <c r="D1" s="120"/>
      <c r="E1" s="120"/>
      <c r="F1" s="120"/>
      <c r="G1" s="120"/>
      <c r="H1" s="120"/>
      <c r="I1" s="120"/>
    </row>
    <row r="2" spans="1:10" ht="12.75">
      <c r="A2" s="121" t="s">
        <v>1</v>
      </c>
      <c r="B2" s="122"/>
      <c r="C2" s="123" t="str">
        <f>'Stavební rozpočet'!C2</f>
        <v>Oprava střechy budova H</v>
      </c>
      <c r="D2" s="87"/>
      <c r="E2" s="126" t="s">
        <v>206</v>
      </c>
      <c r="F2" s="126" t="str">
        <f>'Stavební rozpočet'!J2</f>
        <v> </v>
      </c>
      <c r="G2" s="122"/>
      <c r="H2" s="126" t="s">
        <v>316</v>
      </c>
      <c r="I2" s="155"/>
      <c r="J2" s="6"/>
    </row>
    <row r="3" spans="1:10" ht="12.75">
      <c r="A3" s="118"/>
      <c r="B3" s="89"/>
      <c r="C3" s="124"/>
      <c r="D3" s="124"/>
      <c r="E3" s="89"/>
      <c r="F3" s="89"/>
      <c r="G3" s="89"/>
      <c r="H3" s="89"/>
      <c r="I3" s="116"/>
      <c r="J3" s="6"/>
    </row>
    <row r="4" spans="1:10" ht="12.75">
      <c r="A4" s="112" t="s">
        <v>2</v>
      </c>
      <c r="B4" s="89"/>
      <c r="C4" s="88"/>
      <c r="D4" s="89"/>
      <c r="E4" s="88" t="s">
        <v>207</v>
      </c>
      <c r="F4" s="88" t="str">
        <f>'Stavební rozpočet'!J4</f>
        <v> </v>
      </c>
      <c r="G4" s="89"/>
      <c r="H4" s="88" t="s">
        <v>316</v>
      </c>
      <c r="I4" s="153"/>
      <c r="J4" s="6"/>
    </row>
    <row r="5" spans="1:10" ht="12.75">
      <c r="A5" s="118"/>
      <c r="B5" s="89"/>
      <c r="C5" s="89"/>
      <c r="D5" s="89"/>
      <c r="E5" s="89"/>
      <c r="F5" s="89"/>
      <c r="G5" s="89"/>
      <c r="H5" s="89"/>
      <c r="I5" s="116"/>
      <c r="J5" s="6"/>
    </row>
    <row r="6" spans="1:10" ht="12.75">
      <c r="A6" s="112" t="s">
        <v>3</v>
      </c>
      <c r="B6" s="89"/>
      <c r="C6" s="88" t="str">
        <f>'Stavební rozpočet'!C6</f>
        <v>Kochova 1185, Chomutov</v>
      </c>
      <c r="D6" s="89"/>
      <c r="E6" s="88" t="s">
        <v>208</v>
      </c>
      <c r="F6" s="88"/>
      <c r="G6" s="89"/>
      <c r="H6" s="88" t="s">
        <v>316</v>
      </c>
      <c r="I6" s="153"/>
      <c r="J6" s="6"/>
    </row>
    <row r="7" spans="1:10" ht="12.75">
      <c r="A7" s="118"/>
      <c r="B7" s="89"/>
      <c r="C7" s="89"/>
      <c r="D7" s="89"/>
      <c r="E7" s="89"/>
      <c r="F7" s="89"/>
      <c r="G7" s="89"/>
      <c r="H7" s="89"/>
      <c r="I7" s="116"/>
      <c r="J7" s="6"/>
    </row>
    <row r="8" spans="1:10" ht="12.75">
      <c r="A8" s="112" t="s">
        <v>203</v>
      </c>
      <c r="B8" s="89"/>
      <c r="C8" s="88" t="str">
        <f>'Stavební rozpočet'!G4</f>
        <v> </v>
      </c>
      <c r="D8" s="89"/>
      <c r="E8" s="88" t="s">
        <v>204</v>
      </c>
      <c r="F8" s="88" t="str">
        <f>'Stavební rozpočet'!G6</f>
        <v> </v>
      </c>
      <c r="G8" s="89"/>
      <c r="H8" s="115" t="s">
        <v>317</v>
      </c>
      <c r="I8" s="153" t="s">
        <v>54</v>
      </c>
      <c r="J8" s="6"/>
    </row>
    <row r="9" spans="1:10" ht="12.75">
      <c r="A9" s="118"/>
      <c r="B9" s="89"/>
      <c r="C9" s="89"/>
      <c r="D9" s="89"/>
      <c r="E9" s="89"/>
      <c r="F9" s="89"/>
      <c r="G9" s="89"/>
      <c r="H9" s="89"/>
      <c r="I9" s="116"/>
      <c r="J9" s="6"/>
    </row>
    <row r="10" spans="1:10" ht="12.75">
      <c r="A10" s="112" t="s">
        <v>4</v>
      </c>
      <c r="B10" s="89"/>
      <c r="C10" s="88" t="str">
        <f>'Stavební rozpočet'!C8</f>
        <v> </v>
      </c>
      <c r="D10" s="89"/>
      <c r="E10" s="88" t="s">
        <v>209</v>
      </c>
      <c r="F10" s="88"/>
      <c r="G10" s="89"/>
      <c r="H10" s="115" t="s">
        <v>318</v>
      </c>
      <c r="I10" s="130"/>
      <c r="J10" s="6"/>
    </row>
    <row r="11" spans="1:10" ht="12.75">
      <c r="A11" s="151"/>
      <c r="B11" s="129"/>
      <c r="C11" s="129"/>
      <c r="D11" s="129"/>
      <c r="E11" s="129"/>
      <c r="F11" s="129"/>
      <c r="G11" s="129"/>
      <c r="H11" s="129"/>
      <c r="I11" s="152"/>
      <c r="J11" s="6"/>
    </row>
    <row r="12" spans="1:9" ht="23.25" customHeight="1">
      <c r="A12" s="147" t="s">
        <v>278</v>
      </c>
      <c r="B12" s="148"/>
      <c r="C12" s="148"/>
      <c r="D12" s="148"/>
      <c r="E12" s="148"/>
      <c r="F12" s="148"/>
      <c r="G12" s="148"/>
      <c r="H12" s="148"/>
      <c r="I12" s="148"/>
    </row>
    <row r="13" spans="1:10" ht="26.25" customHeight="1">
      <c r="A13" s="58" t="s">
        <v>279</v>
      </c>
      <c r="B13" s="149" t="s">
        <v>290</v>
      </c>
      <c r="C13" s="150"/>
      <c r="D13" s="58" t="s">
        <v>293</v>
      </c>
      <c r="E13" s="149" t="s">
        <v>302</v>
      </c>
      <c r="F13" s="150"/>
      <c r="G13" s="58" t="s">
        <v>303</v>
      </c>
      <c r="H13" s="149" t="s">
        <v>319</v>
      </c>
      <c r="I13" s="150"/>
      <c r="J13" s="6"/>
    </row>
    <row r="14" spans="1:10" ht="15" customHeight="1">
      <c r="A14" s="59" t="s">
        <v>280</v>
      </c>
      <c r="B14" s="63" t="s">
        <v>291</v>
      </c>
      <c r="C14" s="67">
        <f>SUM('Stavební rozpočet'!AB12:AB90)</f>
        <v>0</v>
      </c>
      <c r="D14" s="145" t="s">
        <v>294</v>
      </c>
      <c r="E14" s="146"/>
      <c r="F14" s="67">
        <v>0</v>
      </c>
      <c r="G14" s="145" t="s">
        <v>304</v>
      </c>
      <c r="H14" s="146"/>
      <c r="I14" s="68" t="s">
        <v>235</v>
      </c>
      <c r="J14" s="6"/>
    </row>
    <row r="15" spans="1:10" ht="15" customHeight="1">
      <c r="A15" s="60"/>
      <c r="B15" s="63" t="s">
        <v>224</v>
      </c>
      <c r="C15" s="67">
        <f>SUM('Stavební rozpočet'!AC12:AC90)</f>
        <v>0</v>
      </c>
      <c r="D15" s="145" t="s">
        <v>295</v>
      </c>
      <c r="E15" s="146"/>
      <c r="F15" s="67">
        <v>0</v>
      </c>
      <c r="G15" s="145" t="s">
        <v>305</v>
      </c>
      <c r="H15" s="146"/>
      <c r="I15" s="68" t="s">
        <v>235</v>
      </c>
      <c r="J15" s="6"/>
    </row>
    <row r="16" spans="1:10" ht="15" customHeight="1">
      <c r="A16" s="59" t="s">
        <v>281</v>
      </c>
      <c r="B16" s="63" t="s">
        <v>291</v>
      </c>
      <c r="C16" s="67">
        <f>SUM('Stavební rozpočet'!AD12:AD90)</f>
        <v>0</v>
      </c>
      <c r="D16" s="145" t="s">
        <v>296</v>
      </c>
      <c r="E16" s="146"/>
      <c r="F16" s="67">
        <v>0</v>
      </c>
      <c r="G16" s="145" t="s">
        <v>306</v>
      </c>
      <c r="H16" s="146"/>
      <c r="I16" s="68" t="s">
        <v>235</v>
      </c>
      <c r="J16" s="6"/>
    </row>
    <row r="17" spans="1:10" ht="15" customHeight="1">
      <c r="A17" s="60"/>
      <c r="B17" s="63" t="s">
        <v>224</v>
      </c>
      <c r="C17" s="67">
        <f>SUM('Stavební rozpočet'!AE12:AE90)</f>
        <v>0</v>
      </c>
      <c r="D17" s="145"/>
      <c r="E17" s="146"/>
      <c r="F17" s="68"/>
      <c r="G17" s="145" t="s">
        <v>307</v>
      </c>
      <c r="H17" s="146"/>
      <c r="I17" s="68" t="s">
        <v>235</v>
      </c>
      <c r="J17" s="6"/>
    </row>
    <row r="18" spans="1:10" ht="15" customHeight="1">
      <c r="A18" s="59" t="s">
        <v>282</v>
      </c>
      <c r="B18" s="63" t="s">
        <v>291</v>
      </c>
      <c r="C18" s="67">
        <f>SUM('Stavební rozpočet'!AF12:AF90)</f>
        <v>0</v>
      </c>
      <c r="D18" s="145"/>
      <c r="E18" s="146"/>
      <c r="F18" s="68"/>
      <c r="G18" s="145" t="s">
        <v>191</v>
      </c>
      <c r="H18" s="146"/>
      <c r="I18" s="68" t="s">
        <v>235</v>
      </c>
      <c r="J18" s="6"/>
    </row>
    <row r="19" spans="1:10" ht="15" customHeight="1">
      <c r="A19" s="60"/>
      <c r="B19" s="63" t="s">
        <v>224</v>
      </c>
      <c r="C19" s="67">
        <f>SUM('Stavební rozpočet'!AG12:AG90)</f>
        <v>0</v>
      </c>
      <c r="D19" s="145"/>
      <c r="E19" s="146"/>
      <c r="F19" s="68"/>
      <c r="G19" s="145" t="s">
        <v>308</v>
      </c>
      <c r="H19" s="146"/>
      <c r="I19" s="68" t="s">
        <v>235</v>
      </c>
      <c r="J19" s="6"/>
    </row>
    <row r="20" spans="1:10" ht="15" customHeight="1">
      <c r="A20" s="143" t="s">
        <v>196</v>
      </c>
      <c r="B20" s="144"/>
      <c r="C20" s="67">
        <f>SUM('Stavební rozpočet'!AH12:AH90)</f>
        <v>0</v>
      </c>
      <c r="D20" s="145"/>
      <c r="E20" s="146"/>
      <c r="F20" s="68"/>
      <c r="G20" s="145"/>
      <c r="H20" s="146"/>
      <c r="I20" s="68"/>
      <c r="J20" s="6"/>
    </row>
    <row r="21" spans="1:10" ht="15" customHeight="1">
      <c r="A21" s="143" t="s">
        <v>283</v>
      </c>
      <c r="B21" s="144"/>
      <c r="C21" s="67">
        <f>SUM('Stavební rozpočet'!Z12:Z90)</f>
        <v>0</v>
      </c>
      <c r="D21" s="145"/>
      <c r="E21" s="146"/>
      <c r="F21" s="68"/>
      <c r="G21" s="145"/>
      <c r="H21" s="146"/>
      <c r="I21" s="68"/>
      <c r="J21" s="6"/>
    </row>
    <row r="22" spans="1:10" ht="16.5" customHeight="1">
      <c r="A22" s="143" t="s">
        <v>284</v>
      </c>
      <c r="B22" s="144"/>
      <c r="C22" s="67">
        <f>SUM(C14:C21)</f>
        <v>0</v>
      </c>
      <c r="D22" s="143" t="s">
        <v>297</v>
      </c>
      <c r="E22" s="144"/>
      <c r="F22" s="67">
        <f>SUM(F14:F21)</f>
        <v>0</v>
      </c>
      <c r="G22" s="143" t="s">
        <v>309</v>
      </c>
      <c r="H22" s="144"/>
      <c r="I22" s="67">
        <f>SUM(I14:I21)</f>
        <v>0</v>
      </c>
      <c r="J22" s="6"/>
    </row>
    <row r="23" spans="1:10" ht="15" customHeight="1">
      <c r="A23" s="9"/>
      <c r="B23" s="9"/>
      <c r="C23" s="65"/>
      <c r="D23" s="143" t="s">
        <v>298</v>
      </c>
      <c r="E23" s="144"/>
      <c r="F23" s="69">
        <v>0</v>
      </c>
      <c r="G23" s="143" t="s">
        <v>310</v>
      </c>
      <c r="H23" s="144"/>
      <c r="I23" s="67">
        <v>0</v>
      </c>
      <c r="J23" s="6"/>
    </row>
    <row r="24" spans="4:9" ht="15" customHeight="1">
      <c r="D24" s="9"/>
      <c r="E24" s="9"/>
      <c r="F24" s="70"/>
      <c r="G24" s="143" t="s">
        <v>311</v>
      </c>
      <c r="H24" s="144"/>
      <c r="I24" s="72"/>
    </row>
    <row r="25" spans="6:10" ht="15" customHeight="1">
      <c r="F25" s="71"/>
      <c r="G25" s="143" t="s">
        <v>312</v>
      </c>
      <c r="H25" s="144"/>
      <c r="I25" s="67">
        <v>0</v>
      </c>
      <c r="J25" s="6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8" t="s">
        <v>285</v>
      </c>
      <c r="B27" s="139"/>
      <c r="C27" s="73">
        <f>SUM('Stavební rozpočet'!AJ12:AJ90)+(F22+I22+F23+I23+I24+I25)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8" t="s">
        <v>286</v>
      </c>
      <c r="B28" s="139"/>
      <c r="C28" s="73">
        <f>SUM('Stavební rozpočet'!AK12:AK90)</f>
        <v>0</v>
      </c>
      <c r="D28" s="138" t="s">
        <v>299</v>
      </c>
      <c r="E28" s="139"/>
      <c r="F28" s="73">
        <f>ROUND(C28*(15/100),2)</f>
        <v>0</v>
      </c>
      <c r="G28" s="138" t="s">
        <v>313</v>
      </c>
      <c r="H28" s="139"/>
      <c r="I28" s="73">
        <f>SUM(C27:C29)</f>
        <v>0</v>
      </c>
      <c r="J28" s="6"/>
    </row>
    <row r="29" spans="1:10" ht="15" customHeight="1">
      <c r="A29" s="138" t="s">
        <v>287</v>
      </c>
      <c r="B29" s="139"/>
      <c r="C29" s="73">
        <f>SUM('Stavební rozpočet'!AL12:AL90)</f>
        <v>0</v>
      </c>
      <c r="D29" s="138" t="s">
        <v>300</v>
      </c>
      <c r="E29" s="139"/>
      <c r="F29" s="73">
        <f>ROUND(C29*(21/100),2)</f>
        <v>0</v>
      </c>
      <c r="G29" s="138" t="s">
        <v>314</v>
      </c>
      <c r="H29" s="139"/>
      <c r="I29" s="73">
        <f>SUM(F28:F29)+I28</f>
        <v>0</v>
      </c>
      <c r="J29" s="6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40" t="s">
        <v>288</v>
      </c>
      <c r="B31" s="141"/>
      <c r="C31" s="142"/>
      <c r="D31" s="140" t="s">
        <v>301</v>
      </c>
      <c r="E31" s="141"/>
      <c r="F31" s="142"/>
      <c r="G31" s="140" t="s">
        <v>315</v>
      </c>
      <c r="H31" s="141"/>
      <c r="I31" s="142"/>
      <c r="J31" s="31"/>
    </row>
    <row r="32" spans="1:10" ht="14.25" customHeight="1">
      <c r="A32" s="132"/>
      <c r="B32" s="133"/>
      <c r="C32" s="134"/>
      <c r="D32" s="132"/>
      <c r="E32" s="133"/>
      <c r="F32" s="134"/>
      <c r="G32" s="132"/>
      <c r="H32" s="133"/>
      <c r="I32" s="134"/>
      <c r="J32" s="31"/>
    </row>
    <row r="33" spans="1:10" ht="14.25" customHeight="1">
      <c r="A33" s="132"/>
      <c r="B33" s="133"/>
      <c r="C33" s="134"/>
      <c r="D33" s="132"/>
      <c r="E33" s="133"/>
      <c r="F33" s="134"/>
      <c r="G33" s="132"/>
      <c r="H33" s="133"/>
      <c r="I33" s="134"/>
      <c r="J33" s="31"/>
    </row>
    <row r="34" spans="1:10" ht="14.25" customHeight="1">
      <c r="A34" s="132"/>
      <c r="B34" s="133"/>
      <c r="C34" s="134"/>
      <c r="D34" s="132"/>
      <c r="E34" s="133"/>
      <c r="F34" s="134"/>
      <c r="G34" s="132"/>
      <c r="H34" s="133"/>
      <c r="I34" s="134"/>
      <c r="J34" s="31"/>
    </row>
    <row r="35" spans="1:10" ht="14.25" customHeight="1">
      <c r="A35" s="135" t="s">
        <v>289</v>
      </c>
      <c r="B35" s="136"/>
      <c r="C35" s="137"/>
      <c r="D35" s="135" t="s">
        <v>289</v>
      </c>
      <c r="E35" s="136"/>
      <c r="F35" s="137"/>
      <c r="G35" s="135" t="s">
        <v>289</v>
      </c>
      <c r="H35" s="136"/>
      <c r="I35" s="137"/>
      <c r="J35" s="31"/>
    </row>
    <row r="36" spans="1:9" ht="11.25" customHeight="1">
      <c r="A36" s="62" t="s">
        <v>55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8" t="s">
        <v>56</v>
      </c>
      <c r="B37" s="89"/>
      <c r="C37" s="89"/>
      <c r="D37" s="89"/>
      <c r="E37" s="89"/>
      <c r="F37" s="89"/>
      <c r="G37" s="89"/>
      <c r="H37" s="89"/>
      <c r="I37" s="89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RNstřechy</cp:lastModifiedBy>
  <dcterms:created xsi:type="dcterms:W3CDTF">2023-10-16T13:17:35Z</dcterms:created>
  <dcterms:modified xsi:type="dcterms:W3CDTF">2023-10-16T13:20:07Z</dcterms:modified>
  <cp:category/>
  <cp:version/>
  <cp:contentType/>
  <cp:contentStatus/>
</cp:coreProperties>
</file>