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<sst xmlns="http://schemas.openxmlformats.org/spreadsheetml/2006/main" count="720" uniqueCount="307">
  <si>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</si>
  <si>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</si>
  <si>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</si>
  <si>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</si>
  <si>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</si>
  <si>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</si>
  <si>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</si>
  <si>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</si>
  <si>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</si>
  <si>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</si>
  <si>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</si>
  <si>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</si>
  <si>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</si>
  <si>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</si>
  <si>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</si>
  <si>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</si>
  <si>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</si>
  <si>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</si>
  <si>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</si>
  <si>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</si>
  <si>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</si>
  <si>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</si>
  <si>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</si>
  <si>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</si>
  <si>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</si>
  <si>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</si>
  <si>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</si>
  <si>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</si>
  <si>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</si>
  <si>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</si>
  <si>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</si>
  <si>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</si>
  <si>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</si>
  <si>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</si>
  <si>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</si>
  <si>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</si>
  <si>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</si>
  <si>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</si>
  <si>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</si>
  <si>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</si>
  <si>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</si>
  <si>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</si>
  <si>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</si>
  <si>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</si>
  <si>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</si>
  <si>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</si>
  <si>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</si>
  <si>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</si>
  <si>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</si>
  <si>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</si>
  <si>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</si>
  <si>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</si>
  <si>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</si>
  <si>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Výše uvedené ceny neobsahují sazbu DPH.</t>
  </si>
  <si>
    <t>Kód</t>
  </si>
  <si>
    <t>62</t>
  </si>
  <si>
    <t>62214244VD</t>
  </si>
  <si>
    <t>622143003</t>
  </si>
  <si>
    <t>62214306VD</t>
  </si>
  <si>
    <t>622472142R00</t>
  </si>
  <si>
    <t>96</t>
  </si>
  <si>
    <t>968062355R00</t>
  </si>
  <si>
    <t>97</t>
  </si>
  <si>
    <t>978015271R00</t>
  </si>
  <si>
    <t>712</t>
  </si>
  <si>
    <t>71201VD</t>
  </si>
  <si>
    <t>71202VD</t>
  </si>
  <si>
    <t>712341559RT1</t>
  </si>
  <si>
    <t>Varianta:</t>
  </si>
  <si>
    <t>7126601VD</t>
  </si>
  <si>
    <t>712841559RT1</t>
  </si>
  <si>
    <t>712851559RT1</t>
  </si>
  <si>
    <t>71226VD</t>
  </si>
  <si>
    <t>712391176R00</t>
  </si>
  <si>
    <t>712457VD</t>
  </si>
  <si>
    <t>713</t>
  </si>
  <si>
    <t>71304VD</t>
  </si>
  <si>
    <t>713021VD</t>
  </si>
  <si>
    <t>71310VD</t>
  </si>
  <si>
    <t>74</t>
  </si>
  <si>
    <t>74003VD</t>
  </si>
  <si>
    <t>762</t>
  </si>
  <si>
    <t>76213VD</t>
  </si>
  <si>
    <t>764</t>
  </si>
  <si>
    <t>76400VD</t>
  </si>
  <si>
    <t>76481715VD</t>
  </si>
  <si>
    <t>764122VD</t>
  </si>
  <si>
    <t>7641228VD</t>
  </si>
  <si>
    <t>7648171577VD</t>
  </si>
  <si>
    <t>764108VD</t>
  </si>
  <si>
    <t>764815212R00</t>
  </si>
  <si>
    <t>764819212R00</t>
  </si>
  <si>
    <t>7643869VD</t>
  </si>
  <si>
    <t>766</t>
  </si>
  <si>
    <t>766629301R00</t>
  </si>
  <si>
    <t>767</t>
  </si>
  <si>
    <t>767568VD</t>
  </si>
  <si>
    <t>783</t>
  </si>
  <si>
    <t>783896210R00</t>
  </si>
  <si>
    <t>7835229VD</t>
  </si>
  <si>
    <t>H01</t>
  </si>
  <si>
    <t>99801100VD</t>
  </si>
  <si>
    <t>H712</t>
  </si>
  <si>
    <t>998712102R00</t>
  </si>
  <si>
    <t>H713</t>
  </si>
  <si>
    <t>998713102R00</t>
  </si>
  <si>
    <t>H764</t>
  </si>
  <si>
    <t>998764102R00</t>
  </si>
  <si>
    <t>H800VD</t>
  </si>
  <si>
    <t>80085VD</t>
  </si>
  <si>
    <t>80087295VD</t>
  </si>
  <si>
    <t>80086VD</t>
  </si>
  <si>
    <t>62852257</t>
  </si>
  <si>
    <t>63145722</t>
  </si>
  <si>
    <t>28055VD</t>
  </si>
  <si>
    <t>61143062</t>
  </si>
  <si>
    <t>2808543VD</t>
  </si>
  <si>
    <t>Kochova 1185, Chomutov</t>
  </si>
  <si>
    <t>Zkrácený popis / Varianta</t>
  </si>
  <si>
    <t>Rozměry</t>
  </si>
  <si>
    <t>Úprava povrchů vnější</t>
  </si>
  <si>
    <t>Potažení vnějších ploch pletivem v ploše, na plném podkladu sklovláknitým vtlačením do tmelu stěn</t>
  </si>
  <si>
    <t>Montáž omítkových plastových nebo pozinkovaných rohových profilů s tkaninou</t>
  </si>
  <si>
    <t>Zednické vyspravení odv. šachet</t>
  </si>
  <si>
    <t>Omítka stěn vnější z MS silikátová slož. II. ručně</t>
  </si>
  <si>
    <t>Bourání konstrukcí</t>
  </si>
  <si>
    <t>Vybourání dřevěných rámů oken dvojitých pl. 2 m2</t>
  </si>
  <si>
    <t>Prorážení otvorů a ostatní bourací práce</t>
  </si>
  <si>
    <t>Otlučení omítek vnějších MVC v složit.1-4 do 65 %</t>
  </si>
  <si>
    <t>Izolace střech (živičné krytiny)</t>
  </si>
  <si>
    <t>Úklid a zametení střechy před prováděnými pracemi</t>
  </si>
  <si>
    <t>Montáž střešní vpustě TOPWET SAN DN 95mm s ochranným košíkem</t>
  </si>
  <si>
    <t>Povlaková krytina střech do 10°, NAIP přitavením - vrchní hydroizolace</t>
  </si>
  <si>
    <t xml:space="preserve">1 vrstva - materiál ve specifikaci 
</t>
  </si>
  <si>
    <t>Pokládka atikového izolačního klínu</t>
  </si>
  <si>
    <t>materiál ve specifikaci</t>
  </si>
  <si>
    <t>Samostatné vytažení izolace, pásy přitavením</t>
  </si>
  <si>
    <t>1 vrstva - asf.pás ve specifikaci</t>
  </si>
  <si>
    <t>Samostatné vytažení izolace, samolepicími pásy</t>
  </si>
  <si>
    <t>Povlaková krytina střech do 10°, za studena - samolepící pás</t>
  </si>
  <si>
    <t>Připevnění izolace kotvicími terči</t>
  </si>
  <si>
    <t>typ kotev bude určen na základě provedených tahových zkoušek na místě</t>
  </si>
  <si>
    <t>Vyspravení stávajícího podkladu z 10% plochy</t>
  </si>
  <si>
    <t>(částečné vyrovnání nerovností, prořezání boulí, atd.)</t>
  </si>
  <si>
    <t>Izolace tepelné</t>
  </si>
  <si>
    <t>Izolace tepelné střech polystyrenovými dílci</t>
  </si>
  <si>
    <t>2 vrstvy v celkové tl. 140mm, kladené na vazbu
materiál ve specifikaci</t>
  </si>
  <si>
    <t>Izolace tepelné střech polystyrenovými dílci - vnitřní strany atikových zdí</t>
  </si>
  <si>
    <t>Polystyren EPS 70 F tl. 50mm</t>
  </si>
  <si>
    <t>Izolace tepelné střech polystyreovými dílci - vrchní hrana atikové zdi</t>
  </si>
  <si>
    <t>spádový klín 40-60mm š. 50cm</t>
  </si>
  <si>
    <t>Elektromontážní práce (silnoproud)</t>
  </si>
  <si>
    <t>Demontáž + montáž nové hromosvodové soustavy</t>
  </si>
  <si>
    <t>drát AlMgSi, ostatní Pz, plast, podběry betonplast, včetně revize
napojení na stávající svody</t>
  </si>
  <si>
    <t>Konstrukce tesařské</t>
  </si>
  <si>
    <t>Dodávka a montáž podkladní OSB desky pod oplechování atiky, tl. 22mm š. 600mm</t>
  </si>
  <si>
    <t>Konstrukce klempířské</t>
  </si>
  <si>
    <t>Demontáž původních klempířských konstrukcí</t>
  </si>
  <si>
    <t>Oplechování zdí (atik) z lak.Pz plechu, rš 700 mm</t>
  </si>
  <si>
    <t>Dodávka a montáž krycí lišty Pz lakovaný, rš 100 mm</t>
  </si>
  <si>
    <t>Dodávka a montáž krycí lišty Pz lakovaný, rš 250 mm</t>
  </si>
  <si>
    <t>Montáž opechování parapetu Pz lakovaný rš do 300mm</t>
  </si>
  <si>
    <t>Dodávka a montáž krycí lišty Pz lakovaný, rš 150 mm</t>
  </si>
  <si>
    <t>Žlab podokapní půlkruh.z lak.Pz plechu, rš 280 mm</t>
  </si>
  <si>
    <t>Odpadní trouby kruhové z lak.Pz plechu, D 100 mm</t>
  </si>
  <si>
    <t>Montáž oplechování okapů, živičná krytina, Pz lakovaný, rš 250mm</t>
  </si>
  <si>
    <t>Konstrukce truhlářské</t>
  </si>
  <si>
    <t>Montáž oken plastových plochy do 1,50 m2</t>
  </si>
  <si>
    <t>Konstrukce doplňkové stavební (zámečnické)</t>
  </si>
  <si>
    <t>Výměna střešního výlezu - plochá střecha (výlez protipožární, zateplený)</t>
  </si>
  <si>
    <t>Nátěry</t>
  </si>
  <si>
    <t>Penetrace betonových podkladů</t>
  </si>
  <si>
    <t>Údržba, nátěr syntet. klempířských konstr.2 x</t>
  </si>
  <si>
    <t>barva Industrol S2013</t>
  </si>
  <si>
    <t>Budovy občanské výstavby</t>
  </si>
  <si>
    <t>Přesun hmot pro budovy zděné výšky do 12 m</t>
  </si>
  <si>
    <t>Přesun hmot pro povlakové krytiny, výšky do 12 m</t>
  </si>
  <si>
    <t>Přesun hmot pro izolace tepelné, výšky do 12 m</t>
  </si>
  <si>
    <t>Přesun hmot pro klempířské konstr., výšky do 12 m</t>
  </si>
  <si>
    <t>Ostatní</t>
  </si>
  <si>
    <t>Odvoz vyprodukovaného odpadu na skládku, uložení</t>
  </si>
  <si>
    <t>Pronájem mechanizace pro přesun hmot</t>
  </si>
  <si>
    <t>jeřáb, stavební výtah</t>
  </si>
  <si>
    <t>Doprava materiálu a řemeslníků na stavbu</t>
  </si>
  <si>
    <t>Ostatní materiál</t>
  </si>
  <si>
    <t>Pás modifikovaný asfalt s břidl. posypem tl. 5mm</t>
  </si>
  <si>
    <t>Klín atikový izolační DDP-KL 1000x50x50 mm</t>
  </si>
  <si>
    <t>Asfaltový samolepící pás tl. 3mm</t>
  </si>
  <si>
    <t>Okno plastové, profil SALAMANDER, dvojsklo</t>
  </si>
  <si>
    <t>Polystyren EPS 100 S</t>
  </si>
  <si>
    <t>Doba výstavby:</t>
  </si>
  <si>
    <t>Začátek výstavby:</t>
  </si>
  <si>
    <t>Konec výstavby:</t>
  </si>
  <si>
    <t>Zpracováno dne:</t>
  </si>
  <si>
    <t>25.04.2023</t>
  </si>
  <si>
    <t>Objednatel:</t>
  </si>
  <si>
    <t>Projektant:</t>
  </si>
  <si>
    <t>Zhotovitel:</t>
  </si>
  <si>
    <t>Zpracoval:</t>
  </si>
  <si>
    <t>MJ</t>
  </si>
  <si>
    <t>m2</t>
  </si>
  <si>
    <t>m</t>
  </si>
  <si>
    <t>soubor</t>
  </si>
  <si>
    <t>kus</t>
  </si>
  <si>
    <t>t</t>
  </si>
  <si>
    <t>m3</t>
  </si>
  <si>
    <t>Množství</t>
  </si>
  <si>
    <t> 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</si>
  <si>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</si>
  <si>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</si>
  <si>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</si>
  <si>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</si>
  <si>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</si>
  <si>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</si>
  <si>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</si>
  <si>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</si>
  <si>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</si>
  <si>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</si>
  <si>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</si>
  <si>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</si>
  <si>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</si>
  <si>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</si>
  <si>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</si>
  <si>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</si>
  <si>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</si>
  <si>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62_</t>
  </si>
  <si>
    <t>96_</t>
  </si>
  <si>
    <t>97_</t>
  </si>
  <si>
    <t>712_</t>
  </si>
  <si>
    <t>713_</t>
  </si>
  <si>
    <t>74_</t>
  </si>
  <si>
    <t>762_</t>
  </si>
  <si>
    <t>764_</t>
  </si>
  <si>
    <t>766_</t>
  </si>
  <si>
    <t>767_</t>
  </si>
  <si>
    <t>783_</t>
  </si>
  <si>
    <t>H01_</t>
  </si>
  <si>
    <t>H712_</t>
  </si>
  <si>
    <t>H713_</t>
  </si>
  <si>
    <t>H764_</t>
  </si>
  <si>
    <t>H800VD_</t>
  </si>
  <si>
    <t>Z99999_</t>
  </si>
  <si>
    <t>6_</t>
  </si>
  <si>
    <t>9_</t>
  </si>
  <si>
    <t>71_</t>
  </si>
  <si>
    <t>76_</t>
  </si>
  <si>
    <t>78_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</si>
  <si>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</si>
  <si>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</si>
  <si>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</si>
  <si>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</si>
  <si>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</si>
  <si>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</si>
  <si>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</si>
  <si>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</si>
  <si>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</si>
  <si>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</si>
  <si>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</si>
  <si>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</si>
  <si>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</si>
  <si>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</si>
  <si>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</si>
  <si>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</si>
  <si>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</si>
  <si>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</si>
  <si>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</si>
  <si>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</si>
  <si>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</si>
  <si>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</si>
  <si>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</si>
  <si>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</si>
  <si>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</si>
  <si>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</si>
  <si>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</si>
  <si>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</si>
  <si>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</si>
  <si>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</si>
  <si>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</si>
  <si>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</si>
  <si>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</si>
  <si>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</si>
  <si>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</si>
  <si>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</si>
  <si>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</si>
  <si>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</si>
  <si>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</si>
  <si>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</si>
  <si>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</si>
  <si>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</si>
  <si>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</si>
  <si>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</si>
  <si>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</si>
  <si>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</si>
  <si>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</si>
  <si>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</si>
  <si>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</si>
  <si>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</si>
  <si>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</si>
  <si>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</si>
  <si>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</si>
  <si>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</si>
  <si>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</si>
  <si>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</si>
  <si>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</si>
  <si>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</si>
  <si>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Oprava střechy budova H</t>
  </si>
  <si>
    <t>Krajská zdravotní a. s. - Nemocnice Chomutov o. 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</si>
</sst>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8" fillId="33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2" fillId="34" borderId="33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4" fillId="0" borderId="33" xfId="0" applyNumberFormat="1" applyFont="1" applyFill="1" applyBorder="1" applyAlignment="1" applyProtection="1">
      <alignment horizontal="right" vertical="center"/>
      <protection/>
    </xf>
    <xf numFmtId="49" fontId="14" fillId="0" borderId="33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5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8"/>
  <sheetViews>
    <sheetView tabSelected="1" zoomScalePageLayoutView="0" workbookViewId="0" topLeftCell="A1">
      <pane ySplit="11" topLeftCell="A42" activePane="bottomLeft" state="frozen"/>
      <selection pane="topLeft" activeCell="A1" sqref="A1"/>
      <selection pane="bottomLeft" activeCell="G8" sqref="G8:G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81.00390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81" t="s">
        <v>305</v>
      </c>
      <c r="D2" s="82"/>
      <c r="E2" s="84" t="s">
        <v>190</v>
      </c>
      <c r="F2" s="78"/>
      <c r="G2" s="84" t="s">
        <v>6</v>
      </c>
      <c r="H2" s="85" t="s">
        <v>195</v>
      </c>
      <c r="I2" s="78"/>
      <c r="J2" s="84" t="s">
        <v>306</v>
      </c>
      <c r="K2" s="78"/>
      <c r="L2" s="78"/>
      <c r="M2" s="86"/>
      <c r="N2" s="6"/>
    </row>
    <row r="3" spans="1:14" ht="12.75">
      <c r="A3" s="79"/>
      <c r="B3" s="80"/>
      <c r="C3" s="83"/>
      <c r="D3" s="83"/>
      <c r="E3" s="80"/>
      <c r="F3" s="80"/>
      <c r="G3" s="80"/>
      <c r="H3" s="80"/>
      <c r="I3" s="80"/>
      <c r="J3" s="80"/>
      <c r="K3" s="80"/>
      <c r="L3" s="80"/>
      <c r="M3" s="87"/>
      <c r="N3" s="6"/>
    </row>
    <row r="4" spans="1:14" ht="12.75">
      <c r="A4" s="88" t="s">
        <v>2</v>
      </c>
      <c r="B4" s="80"/>
      <c r="C4" s="89"/>
      <c r="D4" s="80"/>
      <c r="E4" s="90" t="s">
        <v>191</v>
      </c>
      <c r="F4" s="80"/>
      <c r="G4" s="90" t="s">
        <v>6</v>
      </c>
      <c r="H4" s="89" t="s">
        <v>196</v>
      </c>
      <c r="I4" s="80"/>
      <c r="J4" s="90" t="s">
        <v>207</v>
      </c>
      <c r="K4" s="80"/>
      <c r="L4" s="80"/>
      <c r="M4" s="87"/>
      <c r="N4" s="6"/>
    </row>
    <row r="5" spans="1:14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7"/>
      <c r="N5" s="6"/>
    </row>
    <row r="6" spans="1:14" ht="12.75">
      <c r="A6" s="88" t="s">
        <v>3</v>
      </c>
      <c r="B6" s="80"/>
      <c r="C6" s="89" t="s">
        <v>117</v>
      </c>
      <c r="D6" s="80"/>
      <c r="E6" s="90" t="s">
        <v>192</v>
      </c>
      <c r="F6" s="80"/>
      <c r="G6" s="90" t="s">
        <v>6</v>
      </c>
      <c r="H6" s="89" t="s">
        <v>197</v>
      </c>
      <c r="I6" s="80"/>
      <c r="J6" s="89"/>
      <c r="K6" s="80"/>
      <c r="L6" s="80"/>
      <c r="M6" s="87"/>
      <c r="N6" s="6"/>
    </row>
    <row r="7" spans="1:14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7"/>
      <c r="N7" s="6"/>
    </row>
    <row r="8" spans="1:14" ht="12.75">
      <c r="A8" s="88" t="s">
        <v>4</v>
      </c>
      <c r="B8" s="80"/>
      <c r="C8" s="89" t="s">
        <v>6</v>
      </c>
      <c r="D8" s="80"/>
      <c r="E8" s="90" t="s">
        <v>193</v>
      </c>
      <c r="F8" s="80"/>
      <c r="G8" s="90"/>
      <c r="H8" s="89" t="s">
        <v>198</v>
      </c>
      <c r="I8" s="80"/>
      <c r="J8" s="89"/>
      <c r="K8" s="80"/>
      <c r="L8" s="80"/>
      <c r="M8" s="87"/>
      <c r="N8" s="6"/>
    </row>
    <row r="9" spans="1:14" ht="12.75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6"/>
    </row>
    <row r="10" spans="1:64" ht="12.75">
      <c r="A10" s="1" t="s">
        <v>5</v>
      </c>
      <c r="B10" s="11" t="s">
        <v>54</v>
      </c>
      <c r="C10" s="94" t="s">
        <v>118</v>
      </c>
      <c r="D10" s="95"/>
      <c r="E10" s="95"/>
      <c r="F10" s="95"/>
      <c r="G10" s="96"/>
      <c r="H10" s="11" t="s">
        <v>199</v>
      </c>
      <c r="I10" s="22" t="s">
        <v>206</v>
      </c>
      <c r="J10" s="26" t="s">
        <v>208</v>
      </c>
      <c r="K10" s="97" t="s">
        <v>210</v>
      </c>
      <c r="L10" s="98"/>
      <c r="M10" s="99"/>
      <c r="N10" s="31"/>
      <c r="BK10" s="32" t="s">
        <v>252</v>
      </c>
      <c r="BL10" s="37" t="s">
        <v>255</v>
      </c>
    </row>
    <row r="11" spans="1:62" ht="12.75">
      <c r="A11" s="2" t="s">
        <v>6</v>
      </c>
      <c r="B11" s="12" t="s">
        <v>6</v>
      </c>
      <c r="C11" s="100" t="s">
        <v>119</v>
      </c>
      <c r="D11" s="101"/>
      <c r="E11" s="101"/>
      <c r="F11" s="101"/>
      <c r="G11" s="102"/>
      <c r="H11" s="12" t="s">
        <v>6</v>
      </c>
      <c r="I11" s="12" t="s">
        <v>6</v>
      </c>
      <c r="J11" s="27" t="s">
        <v>209</v>
      </c>
      <c r="K11" s="28" t="s">
        <v>211</v>
      </c>
      <c r="L11" s="29" t="s">
        <v>213</v>
      </c>
      <c r="M11" s="30" t="s">
        <v>214</v>
      </c>
      <c r="N11" s="31"/>
      <c r="Z11" s="32" t="s">
        <v>215</v>
      </c>
      <c r="AA11" s="32" t="s">
        <v>216</v>
      </c>
      <c r="AB11" s="32" t="s">
        <v>217</v>
      </c>
      <c r="AC11" s="32" t="s">
        <v>218</v>
      </c>
      <c r="AD11" s="32" t="s">
        <v>219</v>
      </c>
      <c r="AE11" s="32" t="s">
        <v>220</v>
      </c>
      <c r="AF11" s="32" t="s">
        <v>221</v>
      </c>
      <c r="AG11" s="32" t="s">
        <v>222</v>
      </c>
      <c r="AH11" s="32" t="s">
        <v>223</v>
      </c>
      <c r="BH11" s="32" t="s">
        <v>249</v>
      </c>
      <c r="BI11" s="32" t="s">
        <v>250</v>
      </c>
      <c r="BJ11" s="32" t="s">
        <v>251</v>
      </c>
    </row>
    <row r="12" spans="1:47" ht="12.75">
      <c r="A12" s="3"/>
      <c r="B12" s="13" t="s">
        <v>55</v>
      </c>
      <c r="C12" s="103" t="s">
        <v>120</v>
      </c>
      <c r="D12" s="104"/>
      <c r="E12" s="104"/>
      <c r="F12" s="104"/>
      <c r="G12" s="104"/>
      <c r="H12" s="20" t="s">
        <v>6</v>
      </c>
      <c r="I12" s="20" t="s">
        <v>6</v>
      </c>
      <c r="J12" s="20" t="s">
        <v>6</v>
      </c>
      <c r="K12" s="38">
        <f>SUM(K13:K16)</f>
        <v>0</v>
      </c>
      <c r="L12" s="38">
        <f>SUM(L13:L16)</f>
        <v>0</v>
      </c>
      <c r="M12" s="40">
        <f>SUM(M13:M16)</f>
        <v>0</v>
      </c>
      <c r="N12" s="6"/>
      <c r="AI12" s="32"/>
      <c r="AS12" s="39">
        <f>SUM(AJ13:AJ16)</f>
        <v>0</v>
      </c>
      <c r="AT12" s="39">
        <f>SUM(AK13:AK16)</f>
        <v>0</v>
      </c>
      <c r="AU12" s="39">
        <f>SUM(AL13:AL16)</f>
        <v>0</v>
      </c>
    </row>
    <row r="13" spans="1:64" ht="12.75">
      <c r="A13" s="4" t="s">
        <v>7</v>
      </c>
      <c r="B13" s="14" t="s">
        <v>56</v>
      </c>
      <c r="C13" s="105" t="s">
        <v>121</v>
      </c>
      <c r="D13" s="106"/>
      <c r="E13" s="106"/>
      <c r="F13" s="106"/>
      <c r="G13" s="106"/>
      <c r="H13" s="14" t="s">
        <v>200</v>
      </c>
      <c r="I13" s="23">
        <v>63</v>
      </c>
      <c r="J13" s="23">
        <v>0</v>
      </c>
      <c r="K13" s="23">
        <f>I13*AO13</f>
        <v>0</v>
      </c>
      <c r="L13" s="23">
        <f>I13*AP13</f>
        <v>0</v>
      </c>
      <c r="M13" s="41">
        <f>I13*J13</f>
        <v>0</v>
      </c>
      <c r="N13" s="6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32"/>
      <c r="AJ13" s="23">
        <f>IF(AN13=0,M13,0)</f>
        <v>0</v>
      </c>
      <c r="AK13" s="23">
        <f>IF(AN13=15,M13,0)</f>
        <v>0</v>
      </c>
      <c r="AL13" s="23">
        <f>IF(AN13=21,M13,0)</f>
        <v>0</v>
      </c>
      <c r="AN13" s="33">
        <v>0</v>
      </c>
      <c r="AO13" s="33">
        <f>J13*0.335508411148058</f>
        <v>0</v>
      </c>
      <c r="AP13" s="33">
        <f>J13*(1-0.335508411148058)</f>
        <v>0</v>
      </c>
      <c r="AQ13" s="34" t="s">
        <v>7</v>
      </c>
      <c r="AV13" s="33">
        <f>AW13+AX13</f>
        <v>0</v>
      </c>
      <c r="AW13" s="33">
        <f>I13*AO13</f>
        <v>0</v>
      </c>
      <c r="AX13" s="33">
        <f>I13*AP13</f>
        <v>0</v>
      </c>
      <c r="AY13" s="36" t="s">
        <v>225</v>
      </c>
      <c r="AZ13" s="36" t="s">
        <v>242</v>
      </c>
      <c r="BA13" s="32" t="s">
        <v>248</v>
      </c>
      <c r="BC13" s="33">
        <f>AW13+AX13</f>
        <v>0</v>
      </c>
      <c r="BD13" s="33">
        <f>J13/(100-BE13)*100</f>
        <v>0</v>
      </c>
      <c r="BE13" s="33">
        <v>0</v>
      </c>
      <c r="BF13" s="33">
        <f>13</f>
        <v>13</v>
      </c>
      <c r="BH13" s="23">
        <f>I13*AO13</f>
        <v>0</v>
      </c>
      <c r="BI13" s="23">
        <f>I13*AP13</f>
        <v>0</v>
      </c>
      <c r="BJ13" s="23">
        <f>I13*J13</f>
        <v>0</v>
      </c>
      <c r="BK13" s="23" t="s">
        <v>253</v>
      </c>
      <c r="BL13" s="33">
        <v>62</v>
      </c>
    </row>
    <row r="14" spans="1:64" ht="12.75">
      <c r="A14" s="4" t="s">
        <v>8</v>
      </c>
      <c r="B14" s="14" t="s">
        <v>57</v>
      </c>
      <c r="C14" s="105" t="s">
        <v>122</v>
      </c>
      <c r="D14" s="106"/>
      <c r="E14" s="106"/>
      <c r="F14" s="106"/>
      <c r="G14" s="106"/>
      <c r="H14" s="14" t="s">
        <v>201</v>
      </c>
      <c r="I14" s="23">
        <v>27</v>
      </c>
      <c r="J14" s="23">
        <v>0</v>
      </c>
      <c r="K14" s="23">
        <f>I14*AO14</f>
        <v>0</v>
      </c>
      <c r="L14" s="23">
        <f>I14*AP14</f>
        <v>0</v>
      </c>
      <c r="M14" s="41">
        <f>I14*J14</f>
        <v>0</v>
      </c>
      <c r="N14" s="6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32"/>
      <c r="AJ14" s="23">
        <f>IF(AN14=0,M14,0)</f>
        <v>0</v>
      </c>
      <c r="AK14" s="23">
        <f>IF(AN14=15,M14,0)</f>
        <v>0</v>
      </c>
      <c r="AL14" s="23">
        <f>IF(AN14=21,M14,0)</f>
        <v>0</v>
      </c>
      <c r="AN14" s="33">
        <v>0</v>
      </c>
      <c r="AO14" s="33">
        <f>J14*0.332766565386241</f>
        <v>0</v>
      </c>
      <c r="AP14" s="33">
        <f>J14*(1-0.332766565386241)</f>
        <v>0</v>
      </c>
      <c r="AQ14" s="34" t="s">
        <v>7</v>
      </c>
      <c r="AV14" s="33">
        <f>AW14+AX14</f>
        <v>0</v>
      </c>
      <c r="AW14" s="33">
        <f>I14*AO14</f>
        <v>0</v>
      </c>
      <c r="AX14" s="33">
        <f>I14*AP14</f>
        <v>0</v>
      </c>
      <c r="AY14" s="36" t="s">
        <v>225</v>
      </c>
      <c r="AZ14" s="36" t="s">
        <v>242</v>
      </c>
      <c r="BA14" s="32" t="s">
        <v>248</v>
      </c>
      <c r="BC14" s="33">
        <f>AW14+AX14</f>
        <v>0</v>
      </c>
      <c r="BD14" s="33">
        <f>J14/(100-BE14)*100</f>
        <v>0</v>
      </c>
      <c r="BE14" s="33">
        <v>0</v>
      </c>
      <c r="BF14" s="33">
        <f>14</f>
        <v>14</v>
      </c>
      <c r="BH14" s="23">
        <f>I14*AO14</f>
        <v>0</v>
      </c>
      <c r="BI14" s="23">
        <f>I14*AP14</f>
        <v>0</v>
      </c>
      <c r="BJ14" s="23">
        <f>I14*J14</f>
        <v>0</v>
      </c>
      <c r="BK14" s="23" t="s">
        <v>253</v>
      </c>
      <c r="BL14" s="33">
        <v>62</v>
      </c>
    </row>
    <row r="15" spans="1:64" ht="12.75">
      <c r="A15" s="4" t="s">
        <v>9</v>
      </c>
      <c r="B15" s="14" t="s">
        <v>58</v>
      </c>
      <c r="C15" s="105" t="s">
        <v>123</v>
      </c>
      <c r="D15" s="106"/>
      <c r="E15" s="106"/>
      <c r="F15" s="106"/>
      <c r="G15" s="106"/>
      <c r="H15" s="14" t="s">
        <v>202</v>
      </c>
      <c r="I15" s="23">
        <v>1</v>
      </c>
      <c r="J15" s="23">
        <v>0</v>
      </c>
      <c r="K15" s="23">
        <f>I15*AO15</f>
        <v>0</v>
      </c>
      <c r="L15" s="23">
        <f>I15*AP15</f>
        <v>0</v>
      </c>
      <c r="M15" s="41">
        <f>I15*J15</f>
        <v>0</v>
      </c>
      <c r="N15" s="6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32"/>
      <c r="AJ15" s="23">
        <f>IF(AN15=0,M15,0)</f>
        <v>0</v>
      </c>
      <c r="AK15" s="23">
        <f>IF(AN15=15,M15,0)</f>
        <v>0</v>
      </c>
      <c r="AL15" s="23">
        <f>IF(AN15=21,M15,0)</f>
        <v>0</v>
      </c>
      <c r="AN15" s="33">
        <v>0</v>
      </c>
      <c r="AO15" s="33">
        <f>J15*0.319217041278973</f>
        <v>0</v>
      </c>
      <c r="AP15" s="33">
        <f>J15*(1-0.319217041278973)</f>
        <v>0</v>
      </c>
      <c r="AQ15" s="34" t="s">
        <v>7</v>
      </c>
      <c r="AV15" s="33">
        <f>AW15+AX15</f>
        <v>0</v>
      </c>
      <c r="AW15" s="33">
        <f>I15*AO15</f>
        <v>0</v>
      </c>
      <c r="AX15" s="33">
        <f>I15*AP15</f>
        <v>0</v>
      </c>
      <c r="AY15" s="36" t="s">
        <v>225</v>
      </c>
      <c r="AZ15" s="36" t="s">
        <v>242</v>
      </c>
      <c r="BA15" s="32" t="s">
        <v>248</v>
      </c>
      <c r="BC15" s="33">
        <f>AW15+AX15</f>
        <v>0</v>
      </c>
      <c r="BD15" s="33">
        <f>J15/(100-BE15)*100</f>
        <v>0</v>
      </c>
      <c r="BE15" s="33">
        <v>0</v>
      </c>
      <c r="BF15" s="33">
        <f>15</f>
        <v>15</v>
      </c>
      <c r="BH15" s="23">
        <f>I15*AO15</f>
        <v>0</v>
      </c>
      <c r="BI15" s="23">
        <f>I15*AP15</f>
        <v>0</v>
      </c>
      <c r="BJ15" s="23">
        <f>I15*J15</f>
        <v>0</v>
      </c>
      <c r="BK15" s="23" t="s">
        <v>253</v>
      </c>
      <c r="BL15" s="33">
        <v>62</v>
      </c>
    </row>
    <row r="16" spans="1:64" ht="12.75">
      <c r="A16" s="4" t="s">
        <v>10</v>
      </c>
      <c r="B16" s="14" t="s">
        <v>59</v>
      </c>
      <c r="C16" s="105" t="s">
        <v>124</v>
      </c>
      <c r="D16" s="106"/>
      <c r="E16" s="106"/>
      <c r="F16" s="106"/>
      <c r="G16" s="106"/>
      <c r="H16" s="14" t="s">
        <v>200</v>
      </c>
      <c r="I16" s="23">
        <v>63</v>
      </c>
      <c r="J16" s="23">
        <v>0</v>
      </c>
      <c r="K16" s="23">
        <f>I16*AO16</f>
        <v>0</v>
      </c>
      <c r="L16" s="23">
        <f>I16*AP16</f>
        <v>0</v>
      </c>
      <c r="M16" s="41">
        <f>I16*J16</f>
        <v>0</v>
      </c>
      <c r="N16" s="6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32"/>
      <c r="AJ16" s="23">
        <f>IF(AN16=0,M16,0)</f>
        <v>0</v>
      </c>
      <c r="AK16" s="23">
        <f>IF(AN16=15,M16,0)</f>
        <v>0</v>
      </c>
      <c r="AL16" s="23">
        <f>IF(AN16=21,M16,0)</f>
        <v>0</v>
      </c>
      <c r="AN16" s="33">
        <v>0</v>
      </c>
      <c r="AO16" s="33">
        <f>J16*0.547882882882883</f>
        <v>0</v>
      </c>
      <c r="AP16" s="33">
        <f>J16*(1-0.547882882882883)</f>
        <v>0</v>
      </c>
      <c r="AQ16" s="34" t="s">
        <v>7</v>
      </c>
      <c r="AV16" s="33">
        <f>AW16+AX16</f>
        <v>0</v>
      </c>
      <c r="AW16" s="33">
        <f>I16*AO16</f>
        <v>0</v>
      </c>
      <c r="AX16" s="33">
        <f>I16*AP16</f>
        <v>0</v>
      </c>
      <c r="AY16" s="36" t="s">
        <v>225</v>
      </c>
      <c r="AZ16" s="36" t="s">
        <v>242</v>
      </c>
      <c r="BA16" s="32" t="s">
        <v>248</v>
      </c>
      <c r="BC16" s="33">
        <f>AW16+AX16</f>
        <v>0</v>
      </c>
      <c r="BD16" s="33">
        <f>J16/(100-BE16)*100</f>
        <v>0</v>
      </c>
      <c r="BE16" s="33">
        <v>0</v>
      </c>
      <c r="BF16" s="33">
        <f>16</f>
        <v>16</v>
      </c>
      <c r="BH16" s="23">
        <f>I16*AO16</f>
        <v>0</v>
      </c>
      <c r="BI16" s="23">
        <f>I16*AP16</f>
        <v>0</v>
      </c>
      <c r="BJ16" s="23">
        <f>I16*J16</f>
        <v>0</v>
      </c>
      <c r="BK16" s="23" t="s">
        <v>253</v>
      </c>
      <c r="BL16" s="33">
        <v>62</v>
      </c>
    </row>
    <row r="17" spans="1:47" ht="12.75">
      <c r="A17" s="5"/>
      <c r="B17" s="15" t="s">
        <v>60</v>
      </c>
      <c r="C17" s="107" t="s">
        <v>125</v>
      </c>
      <c r="D17" s="108"/>
      <c r="E17" s="108"/>
      <c r="F17" s="108"/>
      <c r="G17" s="108"/>
      <c r="H17" s="21" t="s">
        <v>6</v>
      </c>
      <c r="I17" s="21" t="s">
        <v>6</v>
      </c>
      <c r="J17" s="21" t="s">
        <v>6</v>
      </c>
      <c r="K17" s="39">
        <f>SUM(K18:K18)</f>
        <v>0</v>
      </c>
      <c r="L17" s="39">
        <f>SUM(L18:L18)</f>
        <v>0</v>
      </c>
      <c r="M17" s="42">
        <f>SUM(M18:M18)</f>
        <v>0</v>
      </c>
      <c r="N17" s="6"/>
      <c r="AI17" s="32"/>
      <c r="AS17" s="39">
        <f>SUM(AJ18:AJ18)</f>
        <v>0</v>
      </c>
      <c r="AT17" s="39">
        <f>SUM(AK18:AK18)</f>
        <v>0</v>
      </c>
      <c r="AU17" s="39">
        <f>SUM(AL18:AL18)</f>
        <v>0</v>
      </c>
    </row>
    <row r="18" spans="1:64" ht="12.75">
      <c r="A18" s="4" t="s">
        <v>11</v>
      </c>
      <c r="B18" s="14" t="s">
        <v>61</v>
      </c>
      <c r="C18" s="105" t="s">
        <v>126</v>
      </c>
      <c r="D18" s="106"/>
      <c r="E18" s="106"/>
      <c r="F18" s="106"/>
      <c r="G18" s="106"/>
      <c r="H18" s="14" t="s">
        <v>200</v>
      </c>
      <c r="I18" s="23">
        <v>1.2</v>
      </c>
      <c r="J18" s="23">
        <v>0</v>
      </c>
      <c r="K18" s="23">
        <f>I18*AO18</f>
        <v>0</v>
      </c>
      <c r="L18" s="23">
        <f>I18*AP18</f>
        <v>0</v>
      </c>
      <c r="M18" s="41">
        <f>I18*J18</f>
        <v>0</v>
      </c>
      <c r="N18" s="6"/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32"/>
      <c r="AJ18" s="23">
        <f>IF(AN18=0,M18,0)</f>
        <v>0</v>
      </c>
      <c r="AK18" s="23">
        <f>IF(AN18=15,M18,0)</f>
        <v>0</v>
      </c>
      <c r="AL18" s="23">
        <f>IF(AN18=21,M18,0)</f>
        <v>0</v>
      </c>
      <c r="AN18" s="33">
        <v>0</v>
      </c>
      <c r="AO18" s="33">
        <f>J18*0.096829470488645</f>
        <v>0</v>
      </c>
      <c r="AP18" s="33">
        <f>J18*(1-0.096829470488645)</f>
        <v>0</v>
      </c>
      <c r="AQ18" s="34" t="s">
        <v>7</v>
      </c>
      <c r="AV18" s="33">
        <f>AW18+AX18</f>
        <v>0</v>
      </c>
      <c r="AW18" s="33">
        <f>I18*AO18</f>
        <v>0</v>
      </c>
      <c r="AX18" s="33">
        <f>I18*AP18</f>
        <v>0</v>
      </c>
      <c r="AY18" s="36" t="s">
        <v>226</v>
      </c>
      <c r="AZ18" s="36" t="s">
        <v>243</v>
      </c>
      <c r="BA18" s="32" t="s">
        <v>248</v>
      </c>
      <c r="BC18" s="33">
        <f>AW18+AX18</f>
        <v>0</v>
      </c>
      <c r="BD18" s="33">
        <f>J18/(100-BE18)*100</f>
        <v>0</v>
      </c>
      <c r="BE18" s="33">
        <v>0</v>
      </c>
      <c r="BF18" s="33">
        <f>18</f>
        <v>18</v>
      </c>
      <c r="BH18" s="23">
        <f>I18*AO18</f>
        <v>0</v>
      </c>
      <c r="BI18" s="23">
        <f>I18*AP18</f>
        <v>0</v>
      </c>
      <c r="BJ18" s="23">
        <f>I18*J18</f>
        <v>0</v>
      </c>
      <c r="BK18" s="23" t="s">
        <v>253</v>
      </c>
      <c r="BL18" s="33">
        <v>96</v>
      </c>
    </row>
    <row r="19" spans="1:47" ht="12.75">
      <c r="A19" s="5"/>
      <c r="B19" s="15" t="s">
        <v>62</v>
      </c>
      <c r="C19" s="107" t="s">
        <v>127</v>
      </c>
      <c r="D19" s="108"/>
      <c r="E19" s="108"/>
      <c r="F19" s="108"/>
      <c r="G19" s="108"/>
      <c r="H19" s="21" t="s">
        <v>6</v>
      </c>
      <c r="I19" s="21" t="s">
        <v>6</v>
      </c>
      <c r="J19" s="21" t="s">
        <v>6</v>
      </c>
      <c r="K19" s="39">
        <f>SUM(K20:K20)</f>
        <v>0</v>
      </c>
      <c r="L19" s="39">
        <f>SUM(L20:L20)</f>
        <v>0</v>
      </c>
      <c r="M19" s="42">
        <f>SUM(M20:M20)</f>
        <v>0</v>
      </c>
      <c r="N19" s="6"/>
      <c r="AI19" s="32"/>
      <c r="AS19" s="39">
        <f>SUM(AJ20:AJ20)</f>
        <v>0</v>
      </c>
      <c r="AT19" s="39">
        <f>SUM(AK20:AK20)</f>
        <v>0</v>
      </c>
      <c r="AU19" s="39">
        <f>SUM(AL20:AL20)</f>
        <v>0</v>
      </c>
    </row>
    <row r="20" spans="1:64" ht="12.75">
      <c r="A20" s="4" t="s">
        <v>12</v>
      </c>
      <c r="B20" s="14" t="s">
        <v>63</v>
      </c>
      <c r="C20" s="105" t="s">
        <v>128</v>
      </c>
      <c r="D20" s="106"/>
      <c r="E20" s="106"/>
      <c r="F20" s="106"/>
      <c r="G20" s="106"/>
      <c r="H20" s="14" t="s">
        <v>200</v>
      </c>
      <c r="I20" s="23">
        <v>63</v>
      </c>
      <c r="J20" s="23">
        <v>0</v>
      </c>
      <c r="K20" s="23">
        <f>I20*AO20</f>
        <v>0</v>
      </c>
      <c r="L20" s="23">
        <f>I20*AP20</f>
        <v>0</v>
      </c>
      <c r="M20" s="41">
        <f>I20*J20</f>
        <v>0</v>
      </c>
      <c r="N20" s="6"/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32"/>
      <c r="AJ20" s="23">
        <f>IF(AN20=0,M20,0)</f>
        <v>0</v>
      </c>
      <c r="AK20" s="23">
        <f>IF(AN20=15,M20,0)</f>
        <v>0</v>
      </c>
      <c r="AL20" s="23">
        <f>IF(AN20=21,M20,0)</f>
        <v>0</v>
      </c>
      <c r="AN20" s="33">
        <v>0</v>
      </c>
      <c r="AO20" s="33">
        <f>J20*0</f>
        <v>0</v>
      </c>
      <c r="AP20" s="33">
        <f>J20*(1-0)</f>
        <v>0</v>
      </c>
      <c r="AQ20" s="34" t="s">
        <v>7</v>
      </c>
      <c r="AV20" s="33">
        <f>AW20+AX20</f>
        <v>0</v>
      </c>
      <c r="AW20" s="33">
        <f>I20*AO20</f>
        <v>0</v>
      </c>
      <c r="AX20" s="33">
        <f>I20*AP20</f>
        <v>0</v>
      </c>
      <c r="AY20" s="36" t="s">
        <v>227</v>
      </c>
      <c r="AZ20" s="36" t="s">
        <v>243</v>
      </c>
      <c r="BA20" s="32" t="s">
        <v>248</v>
      </c>
      <c r="BC20" s="33">
        <f>AW20+AX20</f>
        <v>0</v>
      </c>
      <c r="BD20" s="33">
        <f>J20/(100-BE20)*100</f>
        <v>0</v>
      </c>
      <c r="BE20" s="33">
        <v>0</v>
      </c>
      <c r="BF20" s="33">
        <f>20</f>
        <v>20</v>
      </c>
      <c r="BH20" s="23">
        <f>I20*AO20</f>
        <v>0</v>
      </c>
      <c r="BI20" s="23">
        <f>I20*AP20</f>
        <v>0</v>
      </c>
      <c r="BJ20" s="23">
        <f>I20*J20</f>
        <v>0</v>
      </c>
      <c r="BK20" s="23" t="s">
        <v>253</v>
      </c>
      <c r="BL20" s="33">
        <v>97</v>
      </c>
    </row>
    <row r="21" spans="1:47" ht="12.75">
      <c r="A21" s="5"/>
      <c r="B21" s="15" t="s">
        <v>64</v>
      </c>
      <c r="C21" s="107" t="s">
        <v>129</v>
      </c>
      <c r="D21" s="108"/>
      <c r="E21" s="108"/>
      <c r="F21" s="108"/>
      <c r="G21" s="108"/>
      <c r="H21" s="21" t="s">
        <v>6</v>
      </c>
      <c r="I21" s="21" t="s">
        <v>6</v>
      </c>
      <c r="J21" s="21" t="s">
        <v>6</v>
      </c>
      <c r="K21" s="39">
        <f>SUM(K22:K35)</f>
        <v>0</v>
      </c>
      <c r="L21" s="39">
        <f>SUM(L22:L35)</f>
        <v>0</v>
      </c>
      <c r="M21" s="42">
        <f>SUM(M22:M35)</f>
        <v>0</v>
      </c>
      <c r="N21" s="6"/>
      <c r="AI21" s="32"/>
      <c r="AS21" s="39">
        <f>SUM(AJ22:AJ35)</f>
        <v>0</v>
      </c>
      <c r="AT21" s="39">
        <f>SUM(AK22:AK35)</f>
        <v>0</v>
      </c>
      <c r="AU21" s="39">
        <f>SUM(AL22:AL35)</f>
        <v>0</v>
      </c>
    </row>
    <row r="22" spans="1:64" ht="12.75">
      <c r="A22" s="4" t="s">
        <v>13</v>
      </c>
      <c r="B22" s="14" t="s">
        <v>65</v>
      </c>
      <c r="C22" s="105" t="s">
        <v>130</v>
      </c>
      <c r="D22" s="106"/>
      <c r="E22" s="106"/>
      <c r="F22" s="106"/>
      <c r="G22" s="106"/>
      <c r="H22" s="14" t="s">
        <v>200</v>
      </c>
      <c r="I22" s="23">
        <v>806</v>
      </c>
      <c r="J22" s="23">
        <v>0</v>
      </c>
      <c r="K22" s="23">
        <f>I22*AO22</f>
        <v>0</v>
      </c>
      <c r="L22" s="23">
        <f>I22*AP22</f>
        <v>0</v>
      </c>
      <c r="M22" s="41">
        <f>I22*J22</f>
        <v>0</v>
      </c>
      <c r="N22" s="6"/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32"/>
      <c r="AJ22" s="23">
        <f>IF(AN22=0,M22,0)</f>
        <v>0</v>
      </c>
      <c r="AK22" s="23">
        <f>IF(AN22=15,M22,0)</f>
        <v>0</v>
      </c>
      <c r="AL22" s="23">
        <f>IF(AN22=21,M22,0)</f>
        <v>0</v>
      </c>
      <c r="AN22" s="33">
        <v>0</v>
      </c>
      <c r="AO22" s="33">
        <f>J22*0</f>
        <v>0</v>
      </c>
      <c r="AP22" s="33">
        <f>J22*(1-0)</f>
        <v>0</v>
      </c>
      <c r="AQ22" s="34" t="s">
        <v>13</v>
      </c>
      <c r="AV22" s="33">
        <f>AW22+AX22</f>
        <v>0</v>
      </c>
      <c r="AW22" s="33">
        <f>I22*AO22</f>
        <v>0</v>
      </c>
      <c r="AX22" s="33">
        <f>I22*AP22</f>
        <v>0</v>
      </c>
      <c r="AY22" s="36" t="s">
        <v>228</v>
      </c>
      <c r="AZ22" s="36" t="s">
        <v>244</v>
      </c>
      <c r="BA22" s="32" t="s">
        <v>248</v>
      </c>
      <c r="BC22" s="33">
        <f>AW22+AX22</f>
        <v>0</v>
      </c>
      <c r="BD22" s="33">
        <f>J22/(100-BE22)*100</f>
        <v>0</v>
      </c>
      <c r="BE22" s="33">
        <v>0</v>
      </c>
      <c r="BF22" s="33">
        <f>22</f>
        <v>22</v>
      </c>
      <c r="BH22" s="23">
        <f>I22*AO22</f>
        <v>0</v>
      </c>
      <c r="BI22" s="23">
        <f>I22*AP22</f>
        <v>0</v>
      </c>
      <c r="BJ22" s="23">
        <f>I22*J22</f>
        <v>0</v>
      </c>
      <c r="BK22" s="23" t="s">
        <v>253</v>
      </c>
      <c r="BL22" s="33">
        <v>712</v>
      </c>
    </row>
    <row r="23" spans="1:64" ht="12.75">
      <c r="A23" s="4" t="s">
        <v>14</v>
      </c>
      <c r="B23" s="14" t="s">
        <v>66</v>
      </c>
      <c r="C23" s="105" t="s">
        <v>131</v>
      </c>
      <c r="D23" s="106"/>
      <c r="E23" s="106"/>
      <c r="F23" s="106"/>
      <c r="G23" s="106"/>
      <c r="H23" s="14" t="s">
        <v>203</v>
      </c>
      <c r="I23" s="23">
        <v>2</v>
      </c>
      <c r="J23" s="23">
        <v>0</v>
      </c>
      <c r="K23" s="23">
        <f>I23*AO23</f>
        <v>0</v>
      </c>
      <c r="L23" s="23">
        <f>I23*AP23</f>
        <v>0</v>
      </c>
      <c r="M23" s="41">
        <f>I23*J23</f>
        <v>0</v>
      </c>
      <c r="N23" s="6"/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32"/>
      <c r="AJ23" s="23">
        <f>IF(AN23=0,M23,0)</f>
        <v>0</v>
      </c>
      <c r="AK23" s="23">
        <f>IF(AN23=15,M23,0)</f>
        <v>0</v>
      </c>
      <c r="AL23" s="23">
        <f>IF(AN23=21,M23,0)</f>
        <v>0</v>
      </c>
      <c r="AN23" s="33">
        <v>0</v>
      </c>
      <c r="AO23" s="33">
        <f>J23*0.666810458634398</f>
        <v>0</v>
      </c>
      <c r="AP23" s="33">
        <f>J23*(1-0.666810458634398)</f>
        <v>0</v>
      </c>
      <c r="AQ23" s="34" t="s">
        <v>13</v>
      </c>
      <c r="AV23" s="33">
        <f>AW23+AX23</f>
        <v>0</v>
      </c>
      <c r="AW23" s="33">
        <f>I23*AO23</f>
        <v>0</v>
      </c>
      <c r="AX23" s="33">
        <f>I23*AP23</f>
        <v>0</v>
      </c>
      <c r="AY23" s="36" t="s">
        <v>228</v>
      </c>
      <c r="AZ23" s="36" t="s">
        <v>244</v>
      </c>
      <c r="BA23" s="32" t="s">
        <v>248</v>
      </c>
      <c r="BC23" s="33">
        <f>AW23+AX23</f>
        <v>0</v>
      </c>
      <c r="BD23" s="33">
        <f>J23/(100-BE23)*100</f>
        <v>0</v>
      </c>
      <c r="BE23" s="33">
        <v>0</v>
      </c>
      <c r="BF23" s="33">
        <f>23</f>
        <v>23</v>
      </c>
      <c r="BH23" s="23">
        <f>I23*AO23</f>
        <v>0</v>
      </c>
      <c r="BI23" s="23">
        <f>I23*AP23</f>
        <v>0</v>
      </c>
      <c r="BJ23" s="23">
        <f>I23*J23</f>
        <v>0</v>
      </c>
      <c r="BK23" s="23" t="s">
        <v>253</v>
      </c>
      <c r="BL23" s="33">
        <v>712</v>
      </c>
    </row>
    <row r="24" spans="1:64" ht="12.75">
      <c r="A24" s="4" t="s">
        <v>15</v>
      </c>
      <c r="B24" s="14" t="s">
        <v>67</v>
      </c>
      <c r="C24" s="105" t="s">
        <v>132</v>
      </c>
      <c r="D24" s="106"/>
      <c r="E24" s="106"/>
      <c r="F24" s="106"/>
      <c r="G24" s="106"/>
      <c r="H24" s="14" t="s">
        <v>200</v>
      </c>
      <c r="I24" s="23">
        <v>806</v>
      </c>
      <c r="J24" s="23">
        <v>0</v>
      </c>
      <c r="K24" s="23">
        <f>I24*AO24</f>
        <v>0</v>
      </c>
      <c r="L24" s="23">
        <f>I24*AP24</f>
        <v>0</v>
      </c>
      <c r="M24" s="41">
        <f>I24*J24</f>
        <v>0</v>
      </c>
      <c r="N24" s="6"/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32"/>
      <c r="AJ24" s="23">
        <f>IF(AN24=0,M24,0)</f>
        <v>0</v>
      </c>
      <c r="AK24" s="23">
        <f>IF(AN24=15,M24,0)</f>
        <v>0</v>
      </c>
      <c r="AL24" s="23">
        <f>IF(AN24=21,M24,0)</f>
        <v>0</v>
      </c>
      <c r="AN24" s="33">
        <v>0</v>
      </c>
      <c r="AO24" s="33">
        <f>J24*0.0863815168429244</f>
        <v>0</v>
      </c>
      <c r="AP24" s="33">
        <f>J24*(1-0.0863815168429244)</f>
        <v>0</v>
      </c>
      <c r="AQ24" s="34" t="s">
        <v>13</v>
      </c>
      <c r="AV24" s="33">
        <f>AW24+AX24</f>
        <v>0</v>
      </c>
      <c r="AW24" s="33">
        <f>I24*AO24</f>
        <v>0</v>
      </c>
      <c r="AX24" s="33">
        <f>I24*AP24</f>
        <v>0</v>
      </c>
      <c r="AY24" s="36" t="s">
        <v>228</v>
      </c>
      <c r="AZ24" s="36" t="s">
        <v>244</v>
      </c>
      <c r="BA24" s="32" t="s">
        <v>248</v>
      </c>
      <c r="BC24" s="33">
        <f>AW24+AX24</f>
        <v>0</v>
      </c>
      <c r="BD24" s="33">
        <f>J24/(100-BE24)*100</f>
        <v>0</v>
      </c>
      <c r="BE24" s="33">
        <v>0</v>
      </c>
      <c r="BF24" s="33">
        <f>24</f>
        <v>24</v>
      </c>
      <c r="BH24" s="23">
        <f>I24*AO24</f>
        <v>0</v>
      </c>
      <c r="BI24" s="23">
        <f>I24*AP24</f>
        <v>0</v>
      </c>
      <c r="BJ24" s="23">
        <f>I24*J24</f>
        <v>0</v>
      </c>
      <c r="BK24" s="23" t="s">
        <v>253</v>
      </c>
      <c r="BL24" s="33">
        <v>712</v>
      </c>
    </row>
    <row r="25" spans="1:14" ht="12.75">
      <c r="A25" s="6"/>
      <c r="B25" s="16" t="s">
        <v>68</v>
      </c>
      <c r="C25" s="109" t="s">
        <v>133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6"/>
    </row>
    <row r="26" spans="1:64" ht="12.75">
      <c r="A26" s="4" t="s">
        <v>16</v>
      </c>
      <c r="B26" s="14" t="s">
        <v>69</v>
      </c>
      <c r="C26" s="105" t="s">
        <v>134</v>
      </c>
      <c r="D26" s="106"/>
      <c r="E26" s="106"/>
      <c r="F26" s="106"/>
      <c r="G26" s="106"/>
      <c r="H26" s="14" t="s">
        <v>201</v>
      </c>
      <c r="I26" s="23">
        <v>191</v>
      </c>
      <c r="J26" s="23">
        <v>0</v>
      </c>
      <c r="K26" s="23">
        <f>I26*AO26</f>
        <v>0</v>
      </c>
      <c r="L26" s="23">
        <f>I26*AP26</f>
        <v>0</v>
      </c>
      <c r="M26" s="41">
        <f>I26*J26</f>
        <v>0</v>
      </c>
      <c r="N26" s="6"/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32"/>
      <c r="AJ26" s="23">
        <f>IF(AN26=0,M26,0)</f>
        <v>0</v>
      </c>
      <c r="AK26" s="23">
        <f>IF(AN26=15,M26,0)</f>
        <v>0</v>
      </c>
      <c r="AL26" s="23">
        <f>IF(AN26=21,M26,0)</f>
        <v>0</v>
      </c>
      <c r="AN26" s="33">
        <v>0</v>
      </c>
      <c r="AO26" s="33">
        <f>J26*0</f>
        <v>0</v>
      </c>
      <c r="AP26" s="33">
        <f>J26*(1-0)</f>
        <v>0</v>
      </c>
      <c r="AQ26" s="34" t="s">
        <v>13</v>
      </c>
      <c r="AV26" s="33">
        <f>AW26+AX26</f>
        <v>0</v>
      </c>
      <c r="AW26" s="33">
        <f>I26*AO26</f>
        <v>0</v>
      </c>
      <c r="AX26" s="33">
        <f>I26*AP26</f>
        <v>0</v>
      </c>
      <c r="AY26" s="36" t="s">
        <v>228</v>
      </c>
      <c r="AZ26" s="36" t="s">
        <v>244</v>
      </c>
      <c r="BA26" s="32" t="s">
        <v>248</v>
      </c>
      <c r="BC26" s="33">
        <f>AW26+AX26</f>
        <v>0</v>
      </c>
      <c r="BD26" s="33">
        <f>J26/(100-BE26)*100</f>
        <v>0</v>
      </c>
      <c r="BE26" s="33">
        <v>0</v>
      </c>
      <c r="BF26" s="33">
        <f>26</f>
        <v>26</v>
      </c>
      <c r="BH26" s="23">
        <f>I26*AO26</f>
        <v>0</v>
      </c>
      <c r="BI26" s="23">
        <f>I26*AP26</f>
        <v>0</v>
      </c>
      <c r="BJ26" s="23">
        <f>I26*J26</f>
        <v>0</v>
      </c>
      <c r="BK26" s="23" t="s">
        <v>253</v>
      </c>
      <c r="BL26" s="33">
        <v>712</v>
      </c>
    </row>
    <row r="27" spans="1:14" ht="12.75">
      <c r="A27" s="6"/>
      <c r="B27" s="16" t="s">
        <v>68</v>
      </c>
      <c r="C27" s="109" t="s">
        <v>135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6"/>
    </row>
    <row r="28" spans="1:64" ht="12.75">
      <c r="A28" s="4" t="s">
        <v>17</v>
      </c>
      <c r="B28" s="14" t="s">
        <v>70</v>
      </c>
      <c r="C28" s="105" t="s">
        <v>136</v>
      </c>
      <c r="D28" s="106"/>
      <c r="E28" s="106"/>
      <c r="F28" s="106"/>
      <c r="G28" s="106"/>
      <c r="H28" s="14" t="s">
        <v>200</v>
      </c>
      <c r="I28" s="23">
        <v>179</v>
      </c>
      <c r="J28" s="23">
        <v>0</v>
      </c>
      <c r="K28" s="23">
        <f>I28*AO28</f>
        <v>0</v>
      </c>
      <c r="L28" s="23">
        <f>I28*AP28</f>
        <v>0</v>
      </c>
      <c r="M28" s="41">
        <f>I28*J28</f>
        <v>0</v>
      </c>
      <c r="N28" s="6"/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32"/>
      <c r="AJ28" s="23">
        <f>IF(AN28=0,M28,0)</f>
        <v>0</v>
      </c>
      <c r="AK28" s="23">
        <f>IF(AN28=15,M28,0)</f>
        <v>0</v>
      </c>
      <c r="AL28" s="23">
        <f>IF(AN28=21,M28,0)</f>
        <v>0</v>
      </c>
      <c r="AN28" s="33">
        <v>0</v>
      </c>
      <c r="AO28" s="33">
        <f>J28*0.0364539007092199</f>
        <v>0</v>
      </c>
      <c r="AP28" s="33">
        <f>J28*(1-0.0364539007092199)</f>
        <v>0</v>
      </c>
      <c r="AQ28" s="34" t="s">
        <v>13</v>
      </c>
      <c r="AV28" s="33">
        <f>AW28+AX28</f>
        <v>0</v>
      </c>
      <c r="AW28" s="33">
        <f>I28*AO28</f>
        <v>0</v>
      </c>
      <c r="AX28" s="33">
        <f>I28*AP28</f>
        <v>0</v>
      </c>
      <c r="AY28" s="36" t="s">
        <v>228</v>
      </c>
      <c r="AZ28" s="36" t="s">
        <v>244</v>
      </c>
      <c r="BA28" s="32" t="s">
        <v>248</v>
      </c>
      <c r="BC28" s="33">
        <f>AW28+AX28</f>
        <v>0</v>
      </c>
      <c r="BD28" s="33">
        <f>J28/(100-BE28)*100</f>
        <v>0</v>
      </c>
      <c r="BE28" s="33">
        <v>0</v>
      </c>
      <c r="BF28" s="33">
        <f>28</f>
        <v>28</v>
      </c>
      <c r="BH28" s="23">
        <f>I28*AO28</f>
        <v>0</v>
      </c>
      <c r="BI28" s="23">
        <f>I28*AP28</f>
        <v>0</v>
      </c>
      <c r="BJ28" s="23">
        <f>I28*J28</f>
        <v>0</v>
      </c>
      <c r="BK28" s="23" t="s">
        <v>253</v>
      </c>
      <c r="BL28" s="33">
        <v>712</v>
      </c>
    </row>
    <row r="29" spans="1:14" ht="12.75">
      <c r="A29" s="6"/>
      <c r="B29" s="16" t="s">
        <v>68</v>
      </c>
      <c r="C29" s="109" t="s">
        <v>137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6"/>
    </row>
    <row r="30" spans="1:64" ht="12.75">
      <c r="A30" s="4" t="s">
        <v>18</v>
      </c>
      <c r="B30" s="14" t="s">
        <v>71</v>
      </c>
      <c r="C30" s="105" t="s">
        <v>138</v>
      </c>
      <c r="D30" s="106"/>
      <c r="E30" s="106"/>
      <c r="F30" s="106"/>
      <c r="G30" s="106"/>
      <c r="H30" s="14" t="s">
        <v>200</v>
      </c>
      <c r="I30" s="23">
        <v>141</v>
      </c>
      <c r="J30" s="23">
        <v>0</v>
      </c>
      <c r="K30" s="23">
        <f>I30*AO30</f>
        <v>0</v>
      </c>
      <c r="L30" s="23">
        <f>I30*AP30</f>
        <v>0</v>
      </c>
      <c r="M30" s="41">
        <f>I30*J30</f>
        <v>0</v>
      </c>
      <c r="N30" s="6"/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32"/>
      <c r="AJ30" s="23">
        <f>IF(AN30=0,M30,0)</f>
        <v>0</v>
      </c>
      <c r="AK30" s="23">
        <f>IF(AN30=15,M30,0)</f>
        <v>0</v>
      </c>
      <c r="AL30" s="23">
        <f>IF(AN30=21,M30,0)</f>
        <v>0</v>
      </c>
      <c r="AN30" s="33">
        <v>0</v>
      </c>
      <c r="AO30" s="33">
        <f>J30*0</f>
        <v>0</v>
      </c>
      <c r="AP30" s="33">
        <f>J30*(1-0)</f>
        <v>0</v>
      </c>
      <c r="AQ30" s="34" t="s">
        <v>13</v>
      </c>
      <c r="AV30" s="33">
        <f>AW30+AX30</f>
        <v>0</v>
      </c>
      <c r="AW30" s="33">
        <f>I30*AO30</f>
        <v>0</v>
      </c>
      <c r="AX30" s="33">
        <f>I30*AP30</f>
        <v>0</v>
      </c>
      <c r="AY30" s="36" t="s">
        <v>228</v>
      </c>
      <c r="AZ30" s="36" t="s">
        <v>244</v>
      </c>
      <c r="BA30" s="32" t="s">
        <v>248</v>
      </c>
      <c r="BC30" s="33">
        <f>AW30+AX30</f>
        <v>0</v>
      </c>
      <c r="BD30" s="33">
        <f>J30/(100-BE30)*100</f>
        <v>0</v>
      </c>
      <c r="BE30" s="33">
        <v>0</v>
      </c>
      <c r="BF30" s="33">
        <f>30</f>
        <v>30</v>
      </c>
      <c r="BH30" s="23">
        <f>I30*AO30</f>
        <v>0</v>
      </c>
      <c r="BI30" s="23">
        <f>I30*AP30</f>
        <v>0</v>
      </c>
      <c r="BJ30" s="23">
        <f>I30*J30</f>
        <v>0</v>
      </c>
      <c r="BK30" s="23" t="s">
        <v>253</v>
      </c>
      <c r="BL30" s="33">
        <v>712</v>
      </c>
    </row>
    <row r="31" spans="1:14" ht="12.75">
      <c r="A31" s="6"/>
      <c r="B31" s="16" t="s">
        <v>68</v>
      </c>
      <c r="C31" s="109" t="s">
        <v>137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6"/>
    </row>
    <row r="32" spans="1:64" ht="12.75">
      <c r="A32" s="4" t="s">
        <v>19</v>
      </c>
      <c r="B32" s="14" t="s">
        <v>72</v>
      </c>
      <c r="C32" s="105" t="s">
        <v>139</v>
      </c>
      <c r="D32" s="106"/>
      <c r="E32" s="106"/>
      <c r="F32" s="106"/>
      <c r="G32" s="106"/>
      <c r="H32" s="14" t="s">
        <v>200</v>
      </c>
      <c r="I32" s="23">
        <v>779</v>
      </c>
      <c r="J32" s="23">
        <v>0</v>
      </c>
      <c r="K32" s="23">
        <f>I32*AO32</f>
        <v>0</v>
      </c>
      <c r="L32" s="23">
        <f>I32*AP32</f>
        <v>0</v>
      </c>
      <c r="M32" s="41">
        <f>I32*J32</f>
        <v>0</v>
      </c>
      <c r="N32" s="6"/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32"/>
      <c r="AJ32" s="23">
        <f>IF(AN32=0,M32,0)</f>
        <v>0</v>
      </c>
      <c r="AK32" s="23">
        <f>IF(AN32=15,M32,0)</f>
        <v>0</v>
      </c>
      <c r="AL32" s="23">
        <f>IF(AN32=21,M32,0)</f>
        <v>0</v>
      </c>
      <c r="AN32" s="33">
        <v>0</v>
      </c>
      <c r="AO32" s="33">
        <f>J32*0.0575390960241945</f>
        <v>0</v>
      </c>
      <c r="AP32" s="33">
        <f>J32*(1-0.0575390960241945)</f>
        <v>0</v>
      </c>
      <c r="AQ32" s="34" t="s">
        <v>13</v>
      </c>
      <c r="AV32" s="33">
        <f>AW32+AX32</f>
        <v>0</v>
      </c>
      <c r="AW32" s="33">
        <f>I32*AO32</f>
        <v>0</v>
      </c>
      <c r="AX32" s="33">
        <f>I32*AP32</f>
        <v>0</v>
      </c>
      <c r="AY32" s="36" t="s">
        <v>228</v>
      </c>
      <c r="AZ32" s="36" t="s">
        <v>244</v>
      </c>
      <c r="BA32" s="32" t="s">
        <v>248</v>
      </c>
      <c r="BC32" s="33">
        <f>AW32+AX32</f>
        <v>0</v>
      </c>
      <c r="BD32" s="33">
        <f>J32/(100-BE32)*100</f>
        <v>0</v>
      </c>
      <c r="BE32" s="33">
        <v>0</v>
      </c>
      <c r="BF32" s="33">
        <f>32</f>
        <v>32</v>
      </c>
      <c r="BH32" s="23">
        <f>I32*AO32</f>
        <v>0</v>
      </c>
      <c r="BI32" s="23">
        <f>I32*AP32</f>
        <v>0</v>
      </c>
      <c r="BJ32" s="23">
        <f>I32*J32</f>
        <v>0</v>
      </c>
      <c r="BK32" s="23" t="s">
        <v>253</v>
      </c>
      <c r="BL32" s="33">
        <v>712</v>
      </c>
    </row>
    <row r="33" spans="1:64" ht="12.75">
      <c r="A33" s="4" t="s">
        <v>20</v>
      </c>
      <c r="B33" s="14" t="s">
        <v>73</v>
      </c>
      <c r="C33" s="105" t="s">
        <v>140</v>
      </c>
      <c r="D33" s="106"/>
      <c r="E33" s="106"/>
      <c r="F33" s="106"/>
      <c r="G33" s="106"/>
      <c r="H33" s="14" t="s">
        <v>203</v>
      </c>
      <c r="I33" s="23">
        <v>5000</v>
      </c>
      <c r="J33" s="23">
        <v>0</v>
      </c>
      <c r="K33" s="23">
        <f>I33*AO33</f>
        <v>0</v>
      </c>
      <c r="L33" s="23">
        <f>I33*AP33</f>
        <v>0</v>
      </c>
      <c r="M33" s="41">
        <f>I33*J33</f>
        <v>0</v>
      </c>
      <c r="N33" s="6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32"/>
      <c r="AJ33" s="23">
        <f>IF(AN33=0,M33,0)</f>
        <v>0</v>
      </c>
      <c r="AK33" s="23">
        <f>IF(AN33=15,M33,0)</f>
        <v>0</v>
      </c>
      <c r="AL33" s="23">
        <f>IF(AN33=21,M33,0)</f>
        <v>0</v>
      </c>
      <c r="AN33" s="33">
        <v>0</v>
      </c>
      <c r="AO33" s="33">
        <f>J33*0.601665510062457</f>
        <v>0</v>
      </c>
      <c r="AP33" s="33">
        <f>J33*(1-0.601665510062457)</f>
        <v>0</v>
      </c>
      <c r="AQ33" s="34" t="s">
        <v>13</v>
      </c>
      <c r="AV33" s="33">
        <f>AW33+AX33</f>
        <v>0</v>
      </c>
      <c r="AW33" s="33">
        <f>I33*AO33</f>
        <v>0</v>
      </c>
      <c r="AX33" s="33">
        <f>I33*AP33</f>
        <v>0</v>
      </c>
      <c r="AY33" s="36" t="s">
        <v>228</v>
      </c>
      <c r="AZ33" s="36" t="s">
        <v>244</v>
      </c>
      <c r="BA33" s="32" t="s">
        <v>248</v>
      </c>
      <c r="BC33" s="33">
        <f>AW33+AX33</f>
        <v>0</v>
      </c>
      <c r="BD33" s="33">
        <f>J33/(100-BE33)*100</f>
        <v>0</v>
      </c>
      <c r="BE33" s="33">
        <v>0</v>
      </c>
      <c r="BF33" s="33">
        <f>33</f>
        <v>33</v>
      </c>
      <c r="BH33" s="23">
        <f>I33*AO33</f>
        <v>0</v>
      </c>
      <c r="BI33" s="23">
        <f>I33*AP33</f>
        <v>0</v>
      </c>
      <c r="BJ33" s="23">
        <f>I33*J33</f>
        <v>0</v>
      </c>
      <c r="BK33" s="23" t="s">
        <v>253</v>
      </c>
      <c r="BL33" s="33">
        <v>712</v>
      </c>
    </row>
    <row r="34" spans="1:14" ht="12.75">
      <c r="A34" s="6"/>
      <c r="B34" s="16" t="s">
        <v>68</v>
      </c>
      <c r="C34" s="109" t="s">
        <v>141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6"/>
    </row>
    <row r="35" spans="1:64" ht="12.75">
      <c r="A35" s="4" t="s">
        <v>21</v>
      </c>
      <c r="B35" s="14" t="s">
        <v>74</v>
      </c>
      <c r="C35" s="105" t="s">
        <v>142</v>
      </c>
      <c r="D35" s="106"/>
      <c r="E35" s="106"/>
      <c r="F35" s="106"/>
      <c r="G35" s="106"/>
      <c r="H35" s="14" t="s">
        <v>200</v>
      </c>
      <c r="I35" s="23">
        <v>80.6</v>
      </c>
      <c r="J35" s="23">
        <v>0</v>
      </c>
      <c r="K35" s="23">
        <f>I35*AO35</f>
        <v>0</v>
      </c>
      <c r="L35" s="23">
        <f>I35*AP35</f>
        <v>0</v>
      </c>
      <c r="M35" s="41">
        <f>I35*J35</f>
        <v>0</v>
      </c>
      <c r="N35" s="6"/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32"/>
      <c r="AJ35" s="23">
        <f>IF(AN35=0,M35,0)</f>
        <v>0</v>
      </c>
      <c r="AK35" s="23">
        <f>IF(AN35=15,M35,0)</f>
        <v>0</v>
      </c>
      <c r="AL35" s="23">
        <f>IF(AN35=21,M35,0)</f>
        <v>0</v>
      </c>
      <c r="AN35" s="33">
        <v>0</v>
      </c>
      <c r="AO35" s="33">
        <f>J35*0.474928799962785</f>
        <v>0</v>
      </c>
      <c r="AP35" s="33">
        <f>J35*(1-0.474928799962785)</f>
        <v>0</v>
      </c>
      <c r="AQ35" s="34" t="s">
        <v>13</v>
      </c>
      <c r="AV35" s="33">
        <f>AW35+AX35</f>
        <v>0</v>
      </c>
      <c r="AW35" s="33">
        <f>I35*AO35</f>
        <v>0</v>
      </c>
      <c r="AX35" s="33">
        <f>I35*AP35</f>
        <v>0</v>
      </c>
      <c r="AY35" s="36" t="s">
        <v>228</v>
      </c>
      <c r="AZ35" s="36" t="s">
        <v>244</v>
      </c>
      <c r="BA35" s="32" t="s">
        <v>248</v>
      </c>
      <c r="BC35" s="33">
        <f>AW35+AX35</f>
        <v>0</v>
      </c>
      <c r="BD35" s="33">
        <f>J35/(100-BE35)*100</f>
        <v>0</v>
      </c>
      <c r="BE35" s="33">
        <v>0</v>
      </c>
      <c r="BF35" s="33">
        <f>35</f>
        <v>35</v>
      </c>
      <c r="BH35" s="23">
        <f>I35*AO35</f>
        <v>0</v>
      </c>
      <c r="BI35" s="23">
        <f>I35*AP35</f>
        <v>0</v>
      </c>
      <c r="BJ35" s="23">
        <f>I35*J35</f>
        <v>0</v>
      </c>
      <c r="BK35" s="23" t="s">
        <v>253</v>
      </c>
      <c r="BL35" s="33">
        <v>712</v>
      </c>
    </row>
    <row r="36" spans="1:14" ht="12.75">
      <c r="A36" s="6"/>
      <c r="B36" s="16" t="s">
        <v>68</v>
      </c>
      <c r="C36" s="109" t="s">
        <v>143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6"/>
    </row>
    <row r="37" spans="1:47" ht="12.75">
      <c r="A37" s="5"/>
      <c r="B37" s="15" t="s">
        <v>75</v>
      </c>
      <c r="C37" s="107" t="s">
        <v>144</v>
      </c>
      <c r="D37" s="108"/>
      <c r="E37" s="108"/>
      <c r="F37" s="108"/>
      <c r="G37" s="108"/>
      <c r="H37" s="21" t="s">
        <v>6</v>
      </c>
      <c r="I37" s="21" t="s">
        <v>6</v>
      </c>
      <c r="J37" s="21" t="s">
        <v>6</v>
      </c>
      <c r="K37" s="39">
        <f>SUM(K38:K42)</f>
        <v>0</v>
      </c>
      <c r="L37" s="39">
        <f>SUM(L38:L42)</f>
        <v>0</v>
      </c>
      <c r="M37" s="42">
        <f>SUM(M38:M42)</f>
        <v>0</v>
      </c>
      <c r="N37" s="6"/>
      <c r="AI37" s="32"/>
      <c r="AS37" s="39">
        <f>SUM(AJ38:AJ42)</f>
        <v>0</v>
      </c>
      <c r="AT37" s="39">
        <f>SUM(AK38:AK42)</f>
        <v>0</v>
      </c>
      <c r="AU37" s="39">
        <f>SUM(AL38:AL42)</f>
        <v>0</v>
      </c>
    </row>
    <row r="38" spans="1:64" ht="12.75">
      <c r="A38" s="4" t="s">
        <v>22</v>
      </c>
      <c r="B38" s="14" t="s">
        <v>76</v>
      </c>
      <c r="C38" s="105" t="s">
        <v>145</v>
      </c>
      <c r="D38" s="106"/>
      <c r="E38" s="106"/>
      <c r="F38" s="106"/>
      <c r="G38" s="106"/>
      <c r="H38" s="14" t="s">
        <v>200</v>
      </c>
      <c r="I38" s="23">
        <v>779</v>
      </c>
      <c r="J38" s="23">
        <v>0</v>
      </c>
      <c r="K38" s="23">
        <f>I38*AO38</f>
        <v>0</v>
      </c>
      <c r="L38" s="23">
        <f>I38*AP38</f>
        <v>0</v>
      </c>
      <c r="M38" s="41">
        <f>I38*J38</f>
        <v>0</v>
      </c>
      <c r="N38" s="6"/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32"/>
      <c r="AJ38" s="23">
        <f>IF(AN38=0,M38,0)</f>
        <v>0</v>
      </c>
      <c r="AK38" s="23">
        <f>IF(AN38=15,M38,0)</f>
        <v>0</v>
      </c>
      <c r="AL38" s="23">
        <f>IF(AN38=21,M38,0)</f>
        <v>0</v>
      </c>
      <c r="AN38" s="33">
        <v>0</v>
      </c>
      <c r="AO38" s="33">
        <f>J38*0.0670454545454545</f>
        <v>0</v>
      </c>
      <c r="AP38" s="33">
        <f>J38*(1-0.0670454545454545)</f>
        <v>0</v>
      </c>
      <c r="AQ38" s="34" t="s">
        <v>13</v>
      </c>
      <c r="AV38" s="33">
        <f>AW38+AX38</f>
        <v>0</v>
      </c>
      <c r="AW38" s="33">
        <f>I38*AO38</f>
        <v>0</v>
      </c>
      <c r="AX38" s="33">
        <f>I38*AP38</f>
        <v>0</v>
      </c>
      <c r="AY38" s="36" t="s">
        <v>229</v>
      </c>
      <c r="AZ38" s="36" t="s">
        <v>244</v>
      </c>
      <c r="BA38" s="32" t="s">
        <v>248</v>
      </c>
      <c r="BC38" s="33">
        <f>AW38+AX38</f>
        <v>0</v>
      </c>
      <c r="BD38" s="33">
        <f>J38/(100-BE38)*100</f>
        <v>0</v>
      </c>
      <c r="BE38" s="33">
        <v>0</v>
      </c>
      <c r="BF38" s="33">
        <f>38</f>
        <v>38</v>
      </c>
      <c r="BH38" s="23">
        <f>I38*AO38</f>
        <v>0</v>
      </c>
      <c r="BI38" s="23">
        <f>I38*AP38</f>
        <v>0</v>
      </c>
      <c r="BJ38" s="23">
        <f>I38*J38</f>
        <v>0</v>
      </c>
      <c r="BK38" s="23" t="s">
        <v>253</v>
      </c>
      <c r="BL38" s="33">
        <v>713</v>
      </c>
    </row>
    <row r="39" spans="1:14" ht="25.5" customHeight="1">
      <c r="A39" s="6"/>
      <c r="B39" s="16" t="s">
        <v>68</v>
      </c>
      <c r="C39" s="109" t="s">
        <v>146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6"/>
    </row>
    <row r="40" spans="1:64" ht="12.75">
      <c r="A40" s="4" t="s">
        <v>23</v>
      </c>
      <c r="B40" s="14" t="s">
        <v>77</v>
      </c>
      <c r="C40" s="105" t="s">
        <v>147</v>
      </c>
      <c r="D40" s="106"/>
      <c r="E40" s="106"/>
      <c r="F40" s="106"/>
      <c r="G40" s="106"/>
      <c r="H40" s="14" t="s">
        <v>200</v>
      </c>
      <c r="I40" s="23">
        <v>32</v>
      </c>
      <c r="J40" s="23">
        <v>0</v>
      </c>
      <c r="K40" s="23">
        <f>I40*AO40</f>
        <v>0</v>
      </c>
      <c r="L40" s="23">
        <f>I40*AP40</f>
        <v>0</v>
      </c>
      <c r="M40" s="41">
        <f>I40*J40</f>
        <v>0</v>
      </c>
      <c r="N40" s="6"/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32"/>
      <c r="AJ40" s="23">
        <f>IF(AN40=0,M40,0)</f>
        <v>0</v>
      </c>
      <c r="AK40" s="23">
        <f>IF(AN40=15,M40,0)</f>
        <v>0</v>
      </c>
      <c r="AL40" s="23">
        <f>IF(AN40=21,M40,0)</f>
        <v>0</v>
      </c>
      <c r="AN40" s="33">
        <v>0</v>
      </c>
      <c r="AO40" s="33">
        <f>J40*0.60584513769013</f>
        <v>0</v>
      </c>
      <c r="AP40" s="33">
        <f>J40*(1-0.60584513769013)</f>
        <v>0</v>
      </c>
      <c r="AQ40" s="34" t="s">
        <v>13</v>
      </c>
      <c r="AV40" s="33">
        <f>AW40+AX40</f>
        <v>0</v>
      </c>
      <c r="AW40" s="33">
        <f>I40*AO40</f>
        <v>0</v>
      </c>
      <c r="AX40" s="33">
        <f>I40*AP40</f>
        <v>0</v>
      </c>
      <c r="AY40" s="36" t="s">
        <v>229</v>
      </c>
      <c r="AZ40" s="36" t="s">
        <v>244</v>
      </c>
      <c r="BA40" s="32" t="s">
        <v>248</v>
      </c>
      <c r="BC40" s="33">
        <f>AW40+AX40</f>
        <v>0</v>
      </c>
      <c r="BD40" s="33">
        <f>J40/(100-BE40)*100</f>
        <v>0</v>
      </c>
      <c r="BE40" s="33">
        <v>0</v>
      </c>
      <c r="BF40" s="33">
        <f>40</f>
        <v>40</v>
      </c>
      <c r="BH40" s="23">
        <f>I40*AO40</f>
        <v>0</v>
      </c>
      <c r="BI40" s="23">
        <f>I40*AP40</f>
        <v>0</v>
      </c>
      <c r="BJ40" s="23">
        <f>I40*J40</f>
        <v>0</v>
      </c>
      <c r="BK40" s="23" t="s">
        <v>253</v>
      </c>
      <c r="BL40" s="33">
        <v>713</v>
      </c>
    </row>
    <row r="41" spans="1:14" ht="12.75">
      <c r="A41" s="6"/>
      <c r="B41" s="16" t="s">
        <v>68</v>
      </c>
      <c r="C41" s="109" t="s">
        <v>148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6"/>
    </row>
    <row r="42" spans="1:64" ht="12.75">
      <c r="A42" s="4" t="s">
        <v>24</v>
      </c>
      <c r="B42" s="14" t="s">
        <v>78</v>
      </c>
      <c r="C42" s="105" t="s">
        <v>149</v>
      </c>
      <c r="D42" s="106"/>
      <c r="E42" s="106"/>
      <c r="F42" s="106"/>
      <c r="G42" s="106"/>
      <c r="H42" s="14" t="s">
        <v>201</v>
      </c>
      <c r="I42" s="23">
        <v>125</v>
      </c>
      <c r="J42" s="23">
        <v>0</v>
      </c>
      <c r="K42" s="23">
        <f>I42*AO42</f>
        <v>0</v>
      </c>
      <c r="L42" s="23">
        <f>I42*AP42</f>
        <v>0</v>
      </c>
      <c r="M42" s="41">
        <f>I42*J42</f>
        <v>0</v>
      </c>
      <c r="N42" s="6"/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32"/>
      <c r="AJ42" s="23">
        <f>IF(AN42=0,M42,0)</f>
        <v>0</v>
      </c>
      <c r="AK42" s="23">
        <f>IF(AN42=15,M42,0)</f>
        <v>0</v>
      </c>
      <c r="AL42" s="23">
        <f>IF(AN42=21,M42,0)</f>
        <v>0</v>
      </c>
      <c r="AN42" s="33">
        <v>0</v>
      </c>
      <c r="AO42" s="33">
        <f>J42*0.434343434343434</f>
        <v>0</v>
      </c>
      <c r="AP42" s="33">
        <f>J42*(1-0.434343434343434)</f>
        <v>0</v>
      </c>
      <c r="AQ42" s="34" t="s">
        <v>13</v>
      </c>
      <c r="AV42" s="33">
        <f>AW42+AX42</f>
        <v>0</v>
      </c>
      <c r="AW42" s="33">
        <f>I42*AO42</f>
        <v>0</v>
      </c>
      <c r="AX42" s="33">
        <f>I42*AP42</f>
        <v>0</v>
      </c>
      <c r="AY42" s="36" t="s">
        <v>229</v>
      </c>
      <c r="AZ42" s="36" t="s">
        <v>244</v>
      </c>
      <c r="BA42" s="32" t="s">
        <v>248</v>
      </c>
      <c r="BC42" s="33">
        <f>AW42+AX42</f>
        <v>0</v>
      </c>
      <c r="BD42" s="33">
        <f>J42/(100-BE42)*100</f>
        <v>0</v>
      </c>
      <c r="BE42" s="33">
        <v>0</v>
      </c>
      <c r="BF42" s="33">
        <f>42</f>
        <v>42</v>
      </c>
      <c r="BH42" s="23">
        <f>I42*AO42</f>
        <v>0</v>
      </c>
      <c r="BI42" s="23">
        <f>I42*AP42</f>
        <v>0</v>
      </c>
      <c r="BJ42" s="23">
        <f>I42*J42</f>
        <v>0</v>
      </c>
      <c r="BK42" s="23" t="s">
        <v>253</v>
      </c>
      <c r="BL42" s="33">
        <v>713</v>
      </c>
    </row>
    <row r="43" spans="1:14" ht="12.75">
      <c r="A43" s="6"/>
      <c r="B43" s="16" t="s">
        <v>68</v>
      </c>
      <c r="C43" s="109" t="s">
        <v>150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6"/>
    </row>
    <row r="44" spans="1:47" ht="12.75">
      <c r="A44" s="5"/>
      <c r="B44" s="15" t="s">
        <v>79</v>
      </c>
      <c r="C44" s="107" t="s">
        <v>151</v>
      </c>
      <c r="D44" s="108"/>
      <c r="E44" s="108"/>
      <c r="F44" s="108"/>
      <c r="G44" s="108"/>
      <c r="H44" s="21" t="s">
        <v>6</v>
      </c>
      <c r="I44" s="21" t="s">
        <v>6</v>
      </c>
      <c r="J44" s="21" t="s">
        <v>6</v>
      </c>
      <c r="K44" s="39">
        <f>SUM(K45:K45)</f>
        <v>0</v>
      </c>
      <c r="L44" s="39">
        <f>SUM(L45:L45)</f>
        <v>0</v>
      </c>
      <c r="M44" s="42">
        <f>SUM(M45:M45)</f>
        <v>0</v>
      </c>
      <c r="N44" s="6"/>
      <c r="AI44" s="32"/>
      <c r="AS44" s="39">
        <f>SUM(AJ45:AJ45)</f>
        <v>0</v>
      </c>
      <c r="AT44" s="39">
        <f>SUM(AK45:AK45)</f>
        <v>0</v>
      </c>
      <c r="AU44" s="39">
        <f>SUM(AL45:AL45)</f>
        <v>0</v>
      </c>
    </row>
    <row r="45" spans="1:64" ht="12.75">
      <c r="A45" s="4" t="s">
        <v>25</v>
      </c>
      <c r="B45" s="14" t="s">
        <v>80</v>
      </c>
      <c r="C45" s="105" t="s">
        <v>152</v>
      </c>
      <c r="D45" s="106"/>
      <c r="E45" s="106"/>
      <c r="F45" s="106"/>
      <c r="G45" s="106"/>
      <c r="H45" s="14" t="s">
        <v>202</v>
      </c>
      <c r="I45" s="23">
        <v>1</v>
      </c>
      <c r="J45" s="23">
        <v>0</v>
      </c>
      <c r="K45" s="23">
        <f>I45*AO45</f>
        <v>0</v>
      </c>
      <c r="L45" s="23">
        <f>I45*AP45</f>
        <v>0</v>
      </c>
      <c r="M45" s="41">
        <f>I45*J45</f>
        <v>0</v>
      </c>
      <c r="N45" s="6"/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32"/>
      <c r="AJ45" s="23">
        <f>IF(AN45=0,M45,0)</f>
        <v>0</v>
      </c>
      <c r="AK45" s="23">
        <f>IF(AN45=15,M45,0)</f>
        <v>0</v>
      </c>
      <c r="AL45" s="23">
        <f>IF(AN45=21,M45,0)</f>
        <v>0</v>
      </c>
      <c r="AN45" s="33">
        <v>0</v>
      </c>
      <c r="AO45" s="33">
        <f>J45*0.583871109355108</f>
        <v>0</v>
      </c>
      <c r="AP45" s="33">
        <f>J45*(1-0.583871109355108)</f>
        <v>0</v>
      </c>
      <c r="AQ45" s="34" t="s">
        <v>13</v>
      </c>
      <c r="AV45" s="33">
        <f>AW45+AX45</f>
        <v>0</v>
      </c>
      <c r="AW45" s="33">
        <f>I45*AO45</f>
        <v>0</v>
      </c>
      <c r="AX45" s="33">
        <f>I45*AP45</f>
        <v>0</v>
      </c>
      <c r="AY45" s="36" t="s">
        <v>230</v>
      </c>
      <c r="AZ45" s="36" t="s">
        <v>230</v>
      </c>
      <c r="BA45" s="32" t="s">
        <v>248</v>
      </c>
      <c r="BC45" s="33">
        <f>AW45+AX45</f>
        <v>0</v>
      </c>
      <c r="BD45" s="33">
        <f>J45/(100-BE45)*100</f>
        <v>0</v>
      </c>
      <c r="BE45" s="33">
        <v>0</v>
      </c>
      <c r="BF45" s="33">
        <f>45</f>
        <v>45</v>
      </c>
      <c r="BH45" s="23">
        <f>I45*AO45</f>
        <v>0</v>
      </c>
      <c r="BI45" s="23">
        <f>I45*AP45</f>
        <v>0</v>
      </c>
      <c r="BJ45" s="23">
        <f>I45*J45</f>
        <v>0</v>
      </c>
      <c r="BK45" s="23" t="s">
        <v>253</v>
      </c>
      <c r="BL45" s="33">
        <v>74</v>
      </c>
    </row>
    <row r="46" spans="1:14" ht="25.5" customHeight="1">
      <c r="A46" s="6"/>
      <c r="B46" s="16" t="s">
        <v>68</v>
      </c>
      <c r="C46" s="109" t="s">
        <v>153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6"/>
    </row>
    <row r="47" spans="1:47" ht="12.75">
      <c r="A47" s="5"/>
      <c r="B47" s="15" t="s">
        <v>81</v>
      </c>
      <c r="C47" s="107" t="s">
        <v>154</v>
      </c>
      <c r="D47" s="108"/>
      <c r="E47" s="108"/>
      <c r="F47" s="108"/>
      <c r="G47" s="108"/>
      <c r="H47" s="21" t="s">
        <v>6</v>
      </c>
      <c r="I47" s="21" t="s">
        <v>6</v>
      </c>
      <c r="J47" s="21" t="s">
        <v>6</v>
      </c>
      <c r="K47" s="39">
        <f>SUM(K48:K48)</f>
        <v>0</v>
      </c>
      <c r="L47" s="39">
        <f>SUM(L48:L48)</f>
        <v>0</v>
      </c>
      <c r="M47" s="42">
        <f>SUM(M48:M48)</f>
        <v>0</v>
      </c>
      <c r="N47" s="6"/>
      <c r="AI47" s="32"/>
      <c r="AS47" s="39">
        <f>SUM(AJ48:AJ48)</f>
        <v>0</v>
      </c>
      <c r="AT47" s="39">
        <f>SUM(AK48:AK48)</f>
        <v>0</v>
      </c>
      <c r="AU47" s="39">
        <f>SUM(AL48:AL48)</f>
        <v>0</v>
      </c>
    </row>
    <row r="48" spans="1:64" ht="12.75">
      <c r="A48" s="4" t="s">
        <v>26</v>
      </c>
      <c r="B48" s="14" t="s">
        <v>82</v>
      </c>
      <c r="C48" s="105" t="s">
        <v>155</v>
      </c>
      <c r="D48" s="106"/>
      <c r="E48" s="106"/>
      <c r="F48" s="106"/>
      <c r="G48" s="106"/>
      <c r="H48" s="14" t="s">
        <v>201</v>
      </c>
      <c r="I48" s="23">
        <v>125</v>
      </c>
      <c r="J48" s="23">
        <v>0</v>
      </c>
      <c r="K48" s="23">
        <f>I48*AO48</f>
        <v>0</v>
      </c>
      <c r="L48" s="23">
        <f>I48*AP48</f>
        <v>0</v>
      </c>
      <c r="M48" s="41">
        <f>I48*J48</f>
        <v>0</v>
      </c>
      <c r="N48" s="6"/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32"/>
      <c r="AJ48" s="23">
        <f>IF(AN48=0,M48,0)</f>
        <v>0</v>
      </c>
      <c r="AK48" s="23">
        <f>IF(AN48=15,M48,0)</f>
        <v>0</v>
      </c>
      <c r="AL48" s="23">
        <f>IF(AN48=21,M48,0)</f>
        <v>0</v>
      </c>
      <c r="AN48" s="33">
        <v>0</v>
      </c>
      <c r="AO48" s="33">
        <f>J48*0.530931500355534</f>
        <v>0</v>
      </c>
      <c r="AP48" s="33">
        <f>J48*(1-0.530931500355534)</f>
        <v>0</v>
      </c>
      <c r="AQ48" s="34" t="s">
        <v>13</v>
      </c>
      <c r="AV48" s="33">
        <f>AW48+AX48</f>
        <v>0</v>
      </c>
      <c r="AW48" s="33">
        <f>I48*AO48</f>
        <v>0</v>
      </c>
      <c r="AX48" s="33">
        <f>I48*AP48</f>
        <v>0</v>
      </c>
      <c r="AY48" s="36" t="s">
        <v>231</v>
      </c>
      <c r="AZ48" s="36" t="s">
        <v>245</v>
      </c>
      <c r="BA48" s="32" t="s">
        <v>248</v>
      </c>
      <c r="BC48" s="33">
        <f>AW48+AX48</f>
        <v>0</v>
      </c>
      <c r="BD48" s="33">
        <f>J48/(100-BE48)*100</f>
        <v>0</v>
      </c>
      <c r="BE48" s="33">
        <v>0</v>
      </c>
      <c r="BF48" s="33">
        <f>48</f>
        <v>48</v>
      </c>
      <c r="BH48" s="23">
        <f>I48*AO48</f>
        <v>0</v>
      </c>
      <c r="BI48" s="23">
        <f>I48*AP48</f>
        <v>0</v>
      </c>
      <c r="BJ48" s="23">
        <f>I48*J48</f>
        <v>0</v>
      </c>
      <c r="BK48" s="23" t="s">
        <v>253</v>
      </c>
      <c r="BL48" s="33">
        <v>762</v>
      </c>
    </row>
    <row r="49" spans="1:47" ht="12.75">
      <c r="A49" s="5"/>
      <c r="B49" s="15" t="s">
        <v>83</v>
      </c>
      <c r="C49" s="107" t="s">
        <v>156</v>
      </c>
      <c r="D49" s="108"/>
      <c r="E49" s="108"/>
      <c r="F49" s="108"/>
      <c r="G49" s="108"/>
      <c r="H49" s="21" t="s">
        <v>6</v>
      </c>
      <c r="I49" s="21" t="s">
        <v>6</v>
      </c>
      <c r="J49" s="21" t="s">
        <v>6</v>
      </c>
      <c r="K49" s="39">
        <f>SUM(K50:K58)</f>
        <v>0</v>
      </c>
      <c r="L49" s="39">
        <f>SUM(L50:L58)</f>
        <v>0</v>
      </c>
      <c r="M49" s="42">
        <f>SUM(M50:M58)</f>
        <v>0</v>
      </c>
      <c r="N49" s="6"/>
      <c r="AI49" s="32"/>
      <c r="AS49" s="39">
        <f>SUM(AJ50:AJ58)</f>
        <v>0</v>
      </c>
      <c r="AT49" s="39">
        <f>SUM(AK50:AK58)</f>
        <v>0</v>
      </c>
      <c r="AU49" s="39">
        <f>SUM(AL50:AL58)</f>
        <v>0</v>
      </c>
    </row>
    <row r="50" spans="1:64" ht="12.75">
      <c r="A50" s="4" t="s">
        <v>27</v>
      </c>
      <c r="B50" s="14" t="s">
        <v>84</v>
      </c>
      <c r="C50" s="105" t="s">
        <v>157</v>
      </c>
      <c r="D50" s="106"/>
      <c r="E50" s="106"/>
      <c r="F50" s="106"/>
      <c r="G50" s="106"/>
      <c r="H50" s="14" t="s">
        <v>202</v>
      </c>
      <c r="I50" s="23">
        <v>1</v>
      </c>
      <c r="J50" s="23">
        <v>0</v>
      </c>
      <c r="K50" s="23">
        <f aca="true" t="shared" si="0" ref="K50:K58">I50*AO50</f>
        <v>0</v>
      </c>
      <c r="L50" s="23">
        <f aca="true" t="shared" si="1" ref="L50:L58">I50*AP50</f>
        <v>0</v>
      </c>
      <c r="M50" s="41">
        <f aca="true" t="shared" si="2" ref="M50:M58">I50*J50</f>
        <v>0</v>
      </c>
      <c r="N50" s="6"/>
      <c r="Z50" s="33">
        <f aca="true" t="shared" si="3" ref="Z50:Z58">IF(AQ50="5",BJ50,0)</f>
        <v>0</v>
      </c>
      <c r="AB50" s="33">
        <f aca="true" t="shared" si="4" ref="AB50:AB58">IF(AQ50="1",BH50,0)</f>
        <v>0</v>
      </c>
      <c r="AC50" s="33">
        <f aca="true" t="shared" si="5" ref="AC50:AC58">IF(AQ50="1",BI50,0)</f>
        <v>0</v>
      </c>
      <c r="AD50" s="33">
        <f aca="true" t="shared" si="6" ref="AD50:AD58">IF(AQ50="7",BH50,0)</f>
        <v>0</v>
      </c>
      <c r="AE50" s="33">
        <f aca="true" t="shared" si="7" ref="AE50:AE58">IF(AQ50="7",BI50,0)</f>
        <v>0</v>
      </c>
      <c r="AF50" s="33">
        <f aca="true" t="shared" si="8" ref="AF50:AF58">IF(AQ50="2",BH50,0)</f>
        <v>0</v>
      </c>
      <c r="AG50" s="33">
        <f aca="true" t="shared" si="9" ref="AG50:AG58">IF(AQ50="2",BI50,0)</f>
        <v>0</v>
      </c>
      <c r="AH50" s="33">
        <f aca="true" t="shared" si="10" ref="AH50:AH58">IF(AQ50="0",BJ50,0)</f>
        <v>0</v>
      </c>
      <c r="AI50" s="32"/>
      <c r="AJ50" s="23">
        <f aca="true" t="shared" si="11" ref="AJ50:AJ58">IF(AN50=0,M50,0)</f>
        <v>0</v>
      </c>
      <c r="AK50" s="23">
        <f aca="true" t="shared" si="12" ref="AK50:AK58">IF(AN50=15,M50,0)</f>
        <v>0</v>
      </c>
      <c r="AL50" s="23">
        <f aca="true" t="shared" si="13" ref="AL50:AL58">IF(AN50=21,M50,0)</f>
        <v>0</v>
      </c>
      <c r="AN50" s="33">
        <v>0</v>
      </c>
      <c r="AO50" s="33">
        <f>J50*0</f>
        <v>0</v>
      </c>
      <c r="AP50" s="33">
        <f>J50*(1-0)</f>
        <v>0</v>
      </c>
      <c r="AQ50" s="34" t="s">
        <v>13</v>
      </c>
      <c r="AV50" s="33">
        <f aca="true" t="shared" si="14" ref="AV50:AV58">AW50+AX50</f>
        <v>0</v>
      </c>
      <c r="AW50" s="33">
        <f aca="true" t="shared" si="15" ref="AW50:AW58">I50*AO50</f>
        <v>0</v>
      </c>
      <c r="AX50" s="33">
        <f aca="true" t="shared" si="16" ref="AX50:AX58">I50*AP50</f>
        <v>0</v>
      </c>
      <c r="AY50" s="36" t="s">
        <v>232</v>
      </c>
      <c r="AZ50" s="36" t="s">
        <v>245</v>
      </c>
      <c r="BA50" s="32" t="s">
        <v>248</v>
      </c>
      <c r="BC50" s="33">
        <f aca="true" t="shared" si="17" ref="BC50:BC58">AW50+AX50</f>
        <v>0</v>
      </c>
      <c r="BD50" s="33">
        <f aca="true" t="shared" si="18" ref="BD50:BD58">J50/(100-BE50)*100</f>
        <v>0</v>
      </c>
      <c r="BE50" s="33">
        <v>0</v>
      </c>
      <c r="BF50" s="33">
        <f>50</f>
        <v>50</v>
      </c>
      <c r="BH50" s="23">
        <f aca="true" t="shared" si="19" ref="BH50:BH58">I50*AO50</f>
        <v>0</v>
      </c>
      <c r="BI50" s="23">
        <f aca="true" t="shared" si="20" ref="BI50:BI58">I50*AP50</f>
        <v>0</v>
      </c>
      <c r="BJ50" s="23">
        <f aca="true" t="shared" si="21" ref="BJ50:BJ58">I50*J50</f>
        <v>0</v>
      </c>
      <c r="BK50" s="23" t="s">
        <v>253</v>
      </c>
      <c r="BL50" s="33">
        <v>764</v>
      </c>
    </row>
    <row r="51" spans="1:64" ht="12.75">
      <c r="A51" s="4" t="s">
        <v>28</v>
      </c>
      <c r="B51" s="14" t="s">
        <v>85</v>
      </c>
      <c r="C51" s="105" t="s">
        <v>158</v>
      </c>
      <c r="D51" s="106"/>
      <c r="E51" s="106"/>
      <c r="F51" s="106"/>
      <c r="G51" s="106"/>
      <c r="H51" s="14" t="s">
        <v>201</v>
      </c>
      <c r="I51" s="23">
        <v>141</v>
      </c>
      <c r="J51" s="23">
        <v>0</v>
      </c>
      <c r="K51" s="23">
        <f t="shared" si="0"/>
        <v>0</v>
      </c>
      <c r="L51" s="23">
        <f t="shared" si="1"/>
        <v>0</v>
      </c>
      <c r="M51" s="41">
        <f t="shared" si="2"/>
        <v>0</v>
      </c>
      <c r="N51" s="6"/>
      <c r="Z51" s="33">
        <f t="shared" si="3"/>
        <v>0</v>
      </c>
      <c r="AB51" s="33">
        <f t="shared" si="4"/>
        <v>0</v>
      </c>
      <c r="AC51" s="33">
        <f t="shared" si="5"/>
        <v>0</v>
      </c>
      <c r="AD51" s="33">
        <f t="shared" si="6"/>
        <v>0</v>
      </c>
      <c r="AE51" s="33">
        <f t="shared" si="7"/>
        <v>0</v>
      </c>
      <c r="AF51" s="33">
        <f t="shared" si="8"/>
        <v>0</v>
      </c>
      <c r="AG51" s="33">
        <f t="shared" si="9"/>
        <v>0</v>
      </c>
      <c r="AH51" s="33">
        <f t="shared" si="10"/>
        <v>0</v>
      </c>
      <c r="AI51" s="32"/>
      <c r="AJ51" s="23">
        <f t="shared" si="11"/>
        <v>0</v>
      </c>
      <c r="AK51" s="23">
        <f t="shared" si="12"/>
        <v>0</v>
      </c>
      <c r="AL51" s="23">
        <f t="shared" si="13"/>
        <v>0</v>
      </c>
      <c r="AN51" s="33">
        <v>0</v>
      </c>
      <c r="AO51" s="33">
        <f>J51*0.656167950917753</f>
        <v>0</v>
      </c>
      <c r="AP51" s="33">
        <f>J51*(1-0.656167950917753)</f>
        <v>0</v>
      </c>
      <c r="AQ51" s="34" t="s">
        <v>13</v>
      </c>
      <c r="AV51" s="33">
        <f t="shared" si="14"/>
        <v>0</v>
      </c>
      <c r="AW51" s="33">
        <f t="shared" si="15"/>
        <v>0</v>
      </c>
      <c r="AX51" s="33">
        <f t="shared" si="16"/>
        <v>0</v>
      </c>
      <c r="AY51" s="36" t="s">
        <v>232</v>
      </c>
      <c r="AZ51" s="36" t="s">
        <v>245</v>
      </c>
      <c r="BA51" s="32" t="s">
        <v>248</v>
      </c>
      <c r="BC51" s="33">
        <f t="shared" si="17"/>
        <v>0</v>
      </c>
      <c r="BD51" s="33">
        <f t="shared" si="18"/>
        <v>0</v>
      </c>
      <c r="BE51" s="33">
        <v>0</v>
      </c>
      <c r="BF51" s="33">
        <f>51</f>
        <v>51</v>
      </c>
      <c r="BH51" s="23">
        <f t="shared" si="19"/>
        <v>0</v>
      </c>
      <c r="BI51" s="23">
        <f t="shared" si="20"/>
        <v>0</v>
      </c>
      <c r="BJ51" s="23">
        <f t="shared" si="21"/>
        <v>0</v>
      </c>
      <c r="BK51" s="23" t="s">
        <v>253</v>
      </c>
      <c r="BL51" s="33">
        <v>764</v>
      </c>
    </row>
    <row r="52" spans="1:64" ht="12.75">
      <c r="A52" s="4" t="s">
        <v>29</v>
      </c>
      <c r="B52" s="14" t="s">
        <v>86</v>
      </c>
      <c r="C52" s="105" t="s">
        <v>159</v>
      </c>
      <c r="D52" s="106"/>
      <c r="E52" s="106"/>
      <c r="F52" s="106"/>
      <c r="G52" s="106"/>
      <c r="H52" s="14" t="s">
        <v>201</v>
      </c>
      <c r="I52" s="23">
        <v>46</v>
      </c>
      <c r="J52" s="23">
        <v>0</v>
      </c>
      <c r="K52" s="23">
        <f t="shared" si="0"/>
        <v>0</v>
      </c>
      <c r="L52" s="23">
        <f t="shared" si="1"/>
        <v>0</v>
      </c>
      <c r="M52" s="41">
        <f t="shared" si="2"/>
        <v>0</v>
      </c>
      <c r="N52" s="6"/>
      <c r="Z52" s="33">
        <f t="shared" si="3"/>
        <v>0</v>
      </c>
      <c r="AB52" s="33">
        <f t="shared" si="4"/>
        <v>0</v>
      </c>
      <c r="AC52" s="33">
        <f t="shared" si="5"/>
        <v>0</v>
      </c>
      <c r="AD52" s="33">
        <f t="shared" si="6"/>
        <v>0</v>
      </c>
      <c r="AE52" s="33">
        <f t="shared" si="7"/>
        <v>0</v>
      </c>
      <c r="AF52" s="33">
        <f t="shared" si="8"/>
        <v>0</v>
      </c>
      <c r="AG52" s="33">
        <f t="shared" si="9"/>
        <v>0</v>
      </c>
      <c r="AH52" s="33">
        <f t="shared" si="10"/>
        <v>0</v>
      </c>
      <c r="AI52" s="32"/>
      <c r="AJ52" s="23">
        <f t="shared" si="11"/>
        <v>0</v>
      </c>
      <c r="AK52" s="23">
        <f t="shared" si="12"/>
        <v>0</v>
      </c>
      <c r="AL52" s="23">
        <f t="shared" si="13"/>
        <v>0</v>
      </c>
      <c r="AN52" s="33">
        <v>0</v>
      </c>
      <c r="AO52" s="33">
        <f>J52*0.470202081385701</f>
        <v>0</v>
      </c>
      <c r="AP52" s="33">
        <f>J52*(1-0.470202081385701)</f>
        <v>0</v>
      </c>
      <c r="AQ52" s="34" t="s">
        <v>13</v>
      </c>
      <c r="AV52" s="33">
        <f t="shared" si="14"/>
        <v>0</v>
      </c>
      <c r="AW52" s="33">
        <f t="shared" si="15"/>
        <v>0</v>
      </c>
      <c r="AX52" s="33">
        <f t="shared" si="16"/>
        <v>0</v>
      </c>
      <c r="AY52" s="36" t="s">
        <v>232</v>
      </c>
      <c r="AZ52" s="36" t="s">
        <v>245</v>
      </c>
      <c r="BA52" s="32" t="s">
        <v>248</v>
      </c>
      <c r="BC52" s="33">
        <f t="shared" si="17"/>
        <v>0</v>
      </c>
      <c r="BD52" s="33">
        <f t="shared" si="18"/>
        <v>0</v>
      </c>
      <c r="BE52" s="33">
        <v>0</v>
      </c>
      <c r="BF52" s="33">
        <f>52</f>
        <v>52</v>
      </c>
      <c r="BH52" s="23">
        <f t="shared" si="19"/>
        <v>0</v>
      </c>
      <c r="BI52" s="23">
        <f t="shared" si="20"/>
        <v>0</v>
      </c>
      <c r="BJ52" s="23">
        <f t="shared" si="21"/>
        <v>0</v>
      </c>
      <c r="BK52" s="23" t="s">
        <v>253</v>
      </c>
      <c r="BL52" s="33">
        <v>764</v>
      </c>
    </row>
    <row r="53" spans="1:64" ht="12.75">
      <c r="A53" s="4" t="s">
        <v>30</v>
      </c>
      <c r="B53" s="14" t="s">
        <v>87</v>
      </c>
      <c r="C53" s="105" t="s">
        <v>160</v>
      </c>
      <c r="D53" s="106"/>
      <c r="E53" s="106"/>
      <c r="F53" s="106"/>
      <c r="G53" s="106"/>
      <c r="H53" s="14" t="s">
        <v>201</v>
      </c>
      <c r="I53" s="23">
        <v>32</v>
      </c>
      <c r="J53" s="23">
        <v>0</v>
      </c>
      <c r="K53" s="23">
        <f t="shared" si="0"/>
        <v>0</v>
      </c>
      <c r="L53" s="23">
        <f t="shared" si="1"/>
        <v>0</v>
      </c>
      <c r="M53" s="41">
        <f t="shared" si="2"/>
        <v>0</v>
      </c>
      <c r="N53" s="6"/>
      <c r="Z53" s="33">
        <f t="shared" si="3"/>
        <v>0</v>
      </c>
      <c r="AB53" s="33">
        <f t="shared" si="4"/>
        <v>0</v>
      </c>
      <c r="AC53" s="33">
        <f t="shared" si="5"/>
        <v>0</v>
      </c>
      <c r="AD53" s="33">
        <f t="shared" si="6"/>
        <v>0</v>
      </c>
      <c r="AE53" s="33">
        <f t="shared" si="7"/>
        <v>0</v>
      </c>
      <c r="AF53" s="33">
        <f t="shared" si="8"/>
        <v>0</v>
      </c>
      <c r="AG53" s="33">
        <f t="shared" si="9"/>
        <v>0</v>
      </c>
      <c r="AH53" s="33">
        <f t="shared" si="10"/>
        <v>0</v>
      </c>
      <c r="AI53" s="32"/>
      <c r="AJ53" s="23">
        <f t="shared" si="11"/>
        <v>0</v>
      </c>
      <c r="AK53" s="23">
        <f t="shared" si="12"/>
        <v>0</v>
      </c>
      <c r="AL53" s="23">
        <f t="shared" si="13"/>
        <v>0</v>
      </c>
      <c r="AN53" s="33">
        <v>0</v>
      </c>
      <c r="AO53" s="33">
        <f>J53*0.594086862952019</f>
        <v>0</v>
      </c>
      <c r="AP53" s="33">
        <f>J53*(1-0.594086862952019)</f>
        <v>0</v>
      </c>
      <c r="AQ53" s="34" t="s">
        <v>13</v>
      </c>
      <c r="AV53" s="33">
        <f t="shared" si="14"/>
        <v>0</v>
      </c>
      <c r="AW53" s="33">
        <f t="shared" si="15"/>
        <v>0</v>
      </c>
      <c r="AX53" s="33">
        <f t="shared" si="16"/>
        <v>0</v>
      </c>
      <c r="AY53" s="36" t="s">
        <v>232</v>
      </c>
      <c r="AZ53" s="36" t="s">
        <v>245</v>
      </c>
      <c r="BA53" s="32" t="s">
        <v>248</v>
      </c>
      <c r="BC53" s="33">
        <f t="shared" si="17"/>
        <v>0</v>
      </c>
      <c r="BD53" s="33">
        <f t="shared" si="18"/>
        <v>0</v>
      </c>
      <c r="BE53" s="33">
        <v>0</v>
      </c>
      <c r="BF53" s="33">
        <f>53</f>
        <v>53</v>
      </c>
      <c r="BH53" s="23">
        <f t="shared" si="19"/>
        <v>0</v>
      </c>
      <c r="BI53" s="23">
        <f t="shared" si="20"/>
        <v>0</v>
      </c>
      <c r="BJ53" s="23">
        <f t="shared" si="21"/>
        <v>0</v>
      </c>
      <c r="BK53" s="23" t="s">
        <v>253</v>
      </c>
      <c r="BL53" s="33">
        <v>764</v>
      </c>
    </row>
    <row r="54" spans="1:64" ht="12.75">
      <c r="A54" s="4" t="s">
        <v>31</v>
      </c>
      <c r="B54" s="14" t="s">
        <v>88</v>
      </c>
      <c r="C54" s="105" t="s">
        <v>161</v>
      </c>
      <c r="D54" s="106"/>
      <c r="E54" s="106"/>
      <c r="F54" s="106"/>
      <c r="G54" s="106"/>
      <c r="H54" s="14" t="s">
        <v>201</v>
      </c>
      <c r="I54" s="23">
        <v>1</v>
      </c>
      <c r="J54" s="23">
        <v>0</v>
      </c>
      <c r="K54" s="23">
        <f t="shared" si="0"/>
        <v>0</v>
      </c>
      <c r="L54" s="23">
        <f t="shared" si="1"/>
        <v>0</v>
      </c>
      <c r="M54" s="41">
        <f t="shared" si="2"/>
        <v>0</v>
      </c>
      <c r="N54" s="6"/>
      <c r="Z54" s="33">
        <f t="shared" si="3"/>
        <v>0</v>
      </c>
      <c r="AB54" s="33">
        <f t="shared" si="4"/>
        <v>0</v>
      </c>
      <c r="AC54" s="33">
        <f t="shared" si="5"/>
        <v>0</v>
      </c>
      <c r="AD54" s="33">
        <f t="shared" si="6"/>
        <v>0</v>
      </c>
      <c r="AE54" s="33">
        <f t="shared" si="7"/>
        <v>0</v>
      </c>
      <c r="AF54" s="33">
        <f t="shared" si="8"/>
        <v>0</v>
      </c>
      <c r="AG54" s="33">
        <f t="shared" si="9"/>
        <v>0</v>
      </c>
      <c r="AH54" s="33">
        <f t="shared" si="10"/>
        <v>0</v>
      </c>
      <c r="AI54" s="32"/>
      <c r="AJ54" s="23">
        <f t="shared" si="11"/>
        <v>0</v>
      </c>
      <c r="AK54" s="23">
        <f t="shared" si="12"/>
        <v>0</v>
      </c>
      <c r="AL54" s="23">
        <f t="shared" si="13"/>
        <v>0</v>
      </c>
      <c r="AN54" s="33">
        <v>0</v>
      </c>
      <c r="AO54" s="33">
        <f>J54*0.347613358366047</f>
        <v>0</v>
      </c>
      <c r="AP54" s="33">
        <f>J54*(1-0.347613358366047)</f>
        <v>0</v>
      </c>
      <c r="AQ54" s="34" t="s">
        <v>13</v>
      </c>
      <c r="AV54" s="33">
        <f t="shared" si="14"/>
        <v>0</v>
      </c>
      <c r="AW54" s="33">
        <f t="shared" si="15"/>
        <v>0</v>
      </c>
      <c r="AX54" s="33">
        <f t="shared" si="16"/>
        <v>0</v>
      </c>
      <c r="AY54" s="36" t="s">
        <v>232</v>
      </c>
      <c r="AZ54" s="36" t="s">
        <v>245</v>
      </c>
      <c r="BA54" s="32" t="s">
        <v>248</v>
      </c>
      <c r="BC54" s="33">
        <f t="shared" si="17"/>
        <v>0</v>
      </c>
      <c r="BD54" s="33">
        <f t="shared" si="18"/>
        <v>0</v>
      </c>
      <c r="BE54" s="33">
        <v>0</v>
      </c>
      <c r="BF54" s="33">
        <f>54</f>
        <v>54</v>
      </c>
      <c r="BH54" s="23">
        <f t="shared" si="19"/>
        <v>0</v>
      </c>
      <c r="BI54" s="23">
        <f t="shared" si="20"/>
        <v>0</v>
      </c>
      <c r="BJ54" s="23">
        <f t="shared" si="21"/>
        <v>0</v>
      </c>
      <c r="BK54" s="23" t="s">
        <v>253</v>
      </c>
      <c r="BL54" s="33">
        <v>764</v>
      </c>
    </row>
    <row r="55" spans="1:64" ht="12.75">
      <c r="A55" s="4" t="s">
        <v>32</v>
      </c>
      <c r="B55" s="14" t="s">
        <v>89</v>
      </c>
      <c r="C55" s="105" t="s">
        <v>162</v>
      </c>
      <c r="D55" s="106"/>
      <c r="E55" s="106"/>
      <c r="F55" s="106"/>
      <c r="G55" s="106"/>
      <c r="H55" s="14" t="s">
        <v>201</v>
      </c>
      <c r="I55" s="23">
        <v>141</v>
      </c>
      <c r="J55" s="23">
        <v>0</v>
      </c>
      <c r="K55" s="23">
        <f t="shared" si="0"/>
        <v>0</v>
      </c>
      <c r="L55" s="23">
        <f t="shared" si="1"/>
        <v>0</v>
      </c>
      <c r="M55" s="41">
        <f t="shared" si="2"/>
        <v>0</v>
      </c>
      <c r="N55" s="6"/>
      <c r="Z55" s="33">
        <f t="shared" si="3"/>
        <v>0</v>
      </c>
      <c r="AB55" s="33">
        <f t="shared" si="4"/>
        <v>0</v>
      </c>
      <c r="AC55" s="33">
        <f t="shared" si="5"/>
        <v>0</v>
      </c>
      <c r="AD55" s="33">
        <f t="shared" si="6"/>
        <v>0</v>
      </c>
      <c r="AE55" s="33">
        <f t="shared" si="7"/>
        <v>0</v>
      </c>
      <c r="AF55" s="33">
        <f t="shared" si="8"/>
        <v>0</v>
      </c>
      <c r="AG55" s="33">
        <f t="shared" si="9"/>
        <v>0</v>
      </c>
      <c r="AH55" s="33">
        <f t="shared" si="10"/>
        <v>0</v>
      </c>
      <c r="AI55" s="32"/>
      <c r="AJ55" s="23">
        <f t="shared" si="11"/>
        <v>0</v>
      </c>
      <c r="AK55" s="23">
        <f t="shared" si="12"/>
        <v>0</v>
      </c>
      <c r="AL55" s="23">
        <f t="shared" si="13"/>
        <v>0</v>
      </c>
      <c r="AN55" s="33">
        <v>0</v>
      </c>
      <c r="AO55" s="33">
        <f>J55*0.492404329849916</f>
        <v>0</v>
      </c>
      <c r="AP55" s="33">
        <f>J55*(1-0.492404329849916)</f>
        <v>0</v>
      </c>
      <c r="AQ55" s="34" t="s">
        <v>13</v>
      </c>
      <c r="AV55" s="33">
        <f t="shared" si="14"/>
        <v>0</v>
      </c>
      <c r="AW55" s="33">
        <f t="shared" si="15"/>
        <v>0</v>
      </c>
      <c r="AX55" s="33">
        <f t="shared" si="16"/>
        <v>0</v>
      </c>
      <c r="AY55" s="36" t="s">
        <v>232</v>
      </c>
      <c r="AZ55" s="36" t="s">
        <v>245</v>
      </c>
      <c r="BA55" s="32" t="s">
        <v>248</v>
      </c>
      <c r="BC55" s="33">
        <f t="shared" si="17"/>
        <v>0</v>
      </c>
      <c r="BD55" s="33">
        <f t="shared" si="18"/>
        <v>0</v>
      </c>
      <c r="BE55" s="33">
        <v>0</v>
      </c>
      <c r="BF55" s="33">
        <f>55</f>
        <v>55</v>
      </c>
      <c r="BH55" s="23">
        <f t="shared" si="19"/>
        <v>0</v>
      </c>
      <c r="BI55" s="23">
        <f t="shared" si="20"/>
        <v>0</v>
      </c>
      <c r="BJ55" s="23">
        <f t="shared" si="21"/>
        <v>0</v>
      </c>
      <c r="BK55" s="23" t="s">
        <v>253</v>
      </c>
      <c r="BL55" s="33">
        <v>764</v>
      </c>
    </row>
    <row r="56" spans="1:64" ht="12.75">
      <c r="A56" s="4" t="s">
        <v>33</v>
      </c>
      <c r="B56" s="14" t="s">
        <v>90</v>
      </c>
      <c r="C56" s="105" t="s">
        <v>163</v>
      </c>
      <c r="D56" s="106"/>
      <c r="E56" s="106"/>
      <c r="F56" s="106"/>
      <c r="G56" s="106"/>
      <c r="H56" s="14" t="s">
        <v>201</v>
      </c>
      <c r="I56" s="23">
        <v>6</v>
      </c>
      <c r="J56" s="23">
        <v>0</v>
      </c>
      <c r="K56" s="23">
        <f t="shared" si="0"/>
        <v>0</v>
      </c>
      <c r="L56" s="23">
        <f t="shared" si="1"/>
        <v>0</v>
      </c>
      <c r="M56" s="41">
        <f t="shared" si="2"/>
        <v>0</v>
      </c>
      <c r="N56" s="6"/>
      <c r="Z56" s="33">
        <f t="shared" si="3"/>
        <v>0</v>
      </c>
      <c r="AB56" s="33">
        <f t="shared" si="4"/>
        <v>0</v>
      </c>
      <c r="AC56" s="33">
        <f t="shared" si="5"/>
        <v>0</v>
      </c>
      <c r="AD56" s="33">
        <f t="shared" si="6"/>
        <v>0</v>
      </c>
      <c r="AE56" s="33">
        <f t="shared" si="7"/>
        <v>0</v>
      </c>
      <c r="AF56" s="33">
        <f t="shared" si="8"/>
        <v>0</v>
      </c>
      <c r="AG56" s="33">
        <f t="shared" si="9"/>
        <v>0</v>
      </c>
      <c r="AH56" s="33">
        <f t="shared" si="10"/>
        <v>0</v>
      </c>
      <c r="AI56" s="32"/>
      <c r="AJ56" s="23">
        <f t="shared" si="11"/>
        <v>0</v>
      </c>
      <c r="AK56" s="23">
        <f t="shared" si="12"/>
        <v>0</v>
      </c>
      <c r="AL56" s="23">
        <f t="shared" si="13"/>
        <v>0</v>
      </c>
      <c r="AN56" s="33">
        <v>0</v>
      </c>
      <c r="AO56" s="33">
        <f>J56*0.651837176817985</f>
        <v>0</v>
      </c>
      <c r="AP56" s="33">
        <f>J56*(1-0.651837176817985)</f>
        <v>0</v>
      </c>
      <c r="AQ56" s="34" t="s">
        <v>13</v>
      </c>
      <c r="AV56" s="33">
        <f t="shared" si="14"/>
        <v>0</v>
      </c>
      <c r="AW56" s="33">
        <f t="shared" si="15"/>
        <v>0</v>
      </c>
      <c r="AX56" s="33">
        <f t="shared" si="16"/>
        <v>0</v>
      </c>
      <c r="AY56" s="36" t="s">
        <v>232</v>
      </c>
      <c r="AZ56" s="36" t="s">
        <v>245</v>
      </c>
      <c r="BA56" s="32" t="s">
        <v>248</v>
      </c>
      <c r="BC56" s="33">
        <f t="shared" si="17"/>
        <v>0</v>
      </c>
      <c r="BD56" s="33">
        <f t="shared" si="18"/>
        <v>0</v>
      </c>
      <c r="BE56" s="33">
        <v>0</v>
      </c>
      <c r="BF56" s="33">
        <f>56</f>
        <v>56</v>
      </c>
      <c r="BH56" s="23">
        <f t="shared" si="19"/>
        <v>0</v>
      </c>
      <c r="BI56" s="23">
        <f t="shared" si="20"/>
        <v>0</v>
      </c>
      <c r="BJ56" s="23">
        <f t="shared" si="21"/>
        <v>0</v>
      </c>
      <c r="BK56" s="23" t="s">
        <v>253</v>
      </c>
      <c r="BL56" s="33">
        <v>764</v>
      </c>
    </row>
    <row r="57" spans="1:64" ht="12.75">
      <c r="A57" s="4" t="s">
        <v>34</v>
      </c>
      <c r="B57" s="14" t="s">
        <v>91</v>
      </c>
      <c r="C57" s="105" t="s">
        <v>164</v>
      </c>
      <c r="D57" s="106"/>
      <c r="E57" s="106"/>
      <c r="F57" s="106"/>
      <c r="G57" s="106"/>
      <c r="H57" s="14" t="s">
        <v>201</v>
      </c>
      <c r="I57" s="23">
        <v>3</v>
      </c>
      <c r="J57" s="23">
        <v>0</v>
      </c>
      <c r="K57" s="23">
        <f t="shared" si="0"/>
        <v>0</v>
      </c>
      <c r="L57" s="23">
        <f t="shared" si="1"/>
        <v>0</v>
      </c>
      <c r="M57" s="41">
        <f t="shared" si="2"/>
        <v>0</v>
      </c>
      <c r="N57" s="6"/>
      <c r="Z57" s="33">
        <f t="shared" si="3"/>
        <v>0</v>
      </c>
      <c r="AB57" s="33">
        <f t="shared" si="4"/>
        <v>0</v>
      </c>
      <c r="AC57" s="33">
        <f t="shared" si="5"/>
        <v>0</v>
      </c>
      <c r="AD57" s="33">
        <f t="shared" si="6"/>
        <v>0</v>
      </c>
      <c r="AE57" s="33">
        <f t="shared" si="7"/>
        <v>0</v>
      </c>
      <c r="AF57" s="33">
        <f t="shared" si="8"/>
        <v>0</v>
      </c>
      <c r="AG57" s="33">
        <f t="shared" si="9"/>
        <v>0</v>
      </c>
      <c r="AH57" s="33">
        <f t="shared" si="10"/>
        <v>0</v>
      </c>
      <c r="AI57" s="32"/>
      <c r="AJ57" s="23">
        <f t="shared" si="11"/>
        <v>0</v>
      </c>
      <c r="AK57" s="23">
        <f t="shared" si="12"/>
        <v>0</v>
      </c>
      <c r="AL57" s="23">
        <f t="shared" si="13"/>
        <v>0</v>
      </c>
      <c r="AN57" s="33">
        <v>0</v>
      </c>
      <c r="AO57" s="33">
        <f>J57*0.694923291492329</f>
        <v>0</v>
      </c>
      <c r="AP57" s="33">
        <f>J57*(1-0.694923291492329)</f>
        <v>0</v>
      </c>
      <c r="AQ57" s="34" t="s">
        <v>13</v>
      </c>
      <c r="AV57" s="33">
        <f t="shared" si="14"/>
        <v>0</v>
      </c>
      <c r="AW57" s="33">
        <f t="shared" si="15"/>
        <v>0</v>
      </c>
      <c r="AX57" s="33">
        <f t="shared" si="16"/>
        <v>0</v>
      </c>
      <c r="AY57" s="36" t="s">
        <v>232</v>
      </c>
      <c r="AZ57" s="36" t="s">
        <v>245</v>
      </c>
      <c r="BA57" s="32" t="s">
        <v>248</v>
      </c>
      <c r="BC57" s="33">
        <f t="shared" si="17"/>
        <v>0</v>
      </c>
      <c r="BD57" s="33">
        <f t="shared" si="18"/>
        <v>0</v>
      </c>
      <c r="BE57" s="33">
        <v>0</v>
      </c>
      <c r="BF57" s="33">
        <f>57</f>
        <v>57</v>
      </c>
      <c r="BH57" s="23">
        <f t="shared" si="19"/>
        <v>0</v>
      </c>
      <c r="BI57" s="23">
        <f t="shared" si="20"/>
        <v>0</v>
      </c>
      <c r="BJ57" s="23">
        <f t="shared" si="21"/>
        <v>0</v>
      </c>
      <c r="BK57" s="23" t="s">
        <v>253</v>
      </c>
      <c r="BL57" s="33">
        <v>764</v>
      </c>
    </row>
    <row r="58" spans="1:64" ht="12.75">
      <c r="A58" s="4" t="s">
        <v>35</v>
      </c>
      <c r="B58" s="14" t="s">
        <v>92</v>
      </c>
      <c r="C58" s="105" t="s">
        <v>165</v>
      </c>
      <c r="D58" s="106"/>
      <c r="E58" s="106"/>
      <c r="F58" s="106"/>
      <c r="G58" s="106"/>
      <c r="H58" s="14" t="s">
        <v>201</v>
      </c>
      <c r="I58" s="23">
        <v>6</v>
      </c>
      <c r="J58" s="23">
        <v>0</v>
      </c>
      <c r="K58" s="23">
        <f t="shared" si="0"/>
        <v>0</v>
      </c>
      <c r="L58" s="23">
        <f t="shared" si="1"/>
        <v>0</v>
      </c>
      <c r="M58" s="41">
        <f t="shared" si="2"/>
        <v>0</v>
      </c>
      <c r="N58" s="6"/>
      <c r="Z58" s="33">
        <f t="shared" si="3"/>
        <v>0</v>
      </c>
      <c r="AB58" s="33">
        <f t="shared" si="4"/>
        <v>0</v>
      </c>
      <c r="AC58" s="33">
        <f t="shared" si="5"/>
        <v>0</v>
      </c>
      <c r="AD58" s="33">
        <f t="shared" si="6"/>
        <v>0</v>
      </c>
      <c r="AE58" s="33">
        <f t="shared" si="7"/>
        <v>0</v>
      </c>
      <c r="AF58" s="33">
        <f t="shared" si="8"/>
        <v>0</v>
      </c>
      <c r="AG58" s="33">
        <f t="shared" si="9"/>
        <v>0</v>
      </c>
      <c r="AH58" s="33">
        <f t="shared" si="10"/>
        <v>0</v>
      </c>
      <c r="AI58" s="32"/>
      <c r="AJ58" s="23">
        <f t="shared" si="11"/>
        <v>0</v>
      </c>
      <c r="AK58" s="23">
        <f t="shared" si="12"/>
        <v>0</v>
      </c>
      <c r="AL58" s="23">
        <f t="shared" si="13"/>
        <v>0</v>
      </c>
      <c r="AN58" s="33">
        <v>0</v>
      </c>
      <c r="AO58" s="33">
        <f>J58*0.524422154382905</f>
        <v>0</v>
      </c>
      <c r="AP58" s="33">
        <f>J58*(1-0.524422154382905)</f>
        <v>0</v>
      </c>
      <c r="AQ58" s="34" t="s">
        <v>13</v>
      </c>
      <c r="AV58" s="33">
        <f t="shared" si="14"/>
        <v>0</v>
      </c>
      <c r="AW58" s="33">
        <f t="shared" si="15"/>
        <v>0</v>
      </c>
      <c r="AX58" s="33">
        <f t="shared" si="16"/>
        <v>0</v>
      </c>
      <c r="AY58" s="36" t="s">
        <v>232</v>
      </c>
      <c r="AZ58" s="36" t="s">
        <v>245</v>
      </c>
      <c r="BA58" s="32" t="s">
        <v>248</v>
      </c>
      <c r="BC58" s="33">
        <f t="shared" si="17"/>
        <v>0</v>
      </c>
      <c r="BD58" s="33">
        <f t="shared" si="18"/>
        <v>0</v>
      </c>
      <c r="BE58" s="33">
        <v>0</v>
      </c>
      <c r="BF58" s="33">
        <f>58</f>
        <v>58</v>
      </c>
      <c r="BH58" s="23">
        <f t="shared" si="19"/>
        <v>0</v>
      </c>
      <c r="BI58" s="23">
        <f t="shared" si="20"/>
        <v>0</v>
      </c>
      <c r="BJ58" s="23">
        <f t="shared" si="21"/>
        <v>0</v>
      </c>
      <c r="BK58" s="23" t="s">
        <v>253</v>
      </c>
      <c r="BL58" s="33">
        <v>764</v>
      </c>
    </row>
    <row r="59" spans="1:47" ht="12.75">
      <c r="A59" s="5"/>
      <c r="B59" s="15" t="s">
        <v>93</v>
      </c>
      <c r="C59" s="107" t="s">
        <v>166</v>
      </c>
      <c r="D59" s="108"/>
      <c r="E59" s="108"/>
      <c r="F59" s="108"/>
      <c r="G59" s="108"/>
      <c r="H59" s="21" t="s">
        <v>6</v>
      </c>
      <c r="I59" s="21" t="s">
        <v>6</v>
      </c>
      <c r="J59" s="21" t="s">
        <v>6</v>
      </c>
      <c r="K59" s="39">
        <f>SUM(K60:K60)</f>
        <v>0</v>
      </c>
      <c r="L59" s="39">
        <f>SUM(L60:L60)</f>
        <v>0</v>
      </c>
      <c r="M59" s="42">
        <f>SUM(M60:M60)</f>
        <v>0</v>
      </c>
      <c r="N59" s="6"/>
      <c r="AI59" s="32"/>
      <c r="AS59" s="39">
        <f>SUM(AJ60:AJ60)</f>
        <v>0</v>
      </c>
      <c r="AT59" s="39">
        <f>SUM(AK60:AK60)</f>
        <v>0</v>
      </c>
      <c r="AU59" s="39">
        <f>SUM(AL60:AL60)</f>
        <v>0</v>
      </c>
    </row>
    <row r="60" spans="1:64" ht="12.75">
      <c r="A60" s="4" t="s">
        <v>36</v>
      </c>
      <c r="B60" s="14" t="s">
        <v>94</v>
      </c>
      <c r="C60" s="105" t="s">
        <v>167</v>
      </c>
      <c r="D60" s="106"/>
      <c r="E60" s="106"/>
      <c r="F60" s="106"/>
      <c r="G60" s="106"/>
      <c r="H60" s="14" t="s">
        <v>203</v>
      </c>
      <c r="I60" s="23">
        <v>1</v>
      </c>
      <c r="J60" s="23">
        <v>0</v>
      </c>
      <c r="K60" s="23">
        <f>I60*AO60</f>
        <v>0</v>
      </c>
      <c r="L60" s="23">
        <f>I60*AP60</f>
        <v>0</v>
      </c>
      <c r="M60" s="41">
        <f>I60*J60</f>
        <v>0</v>
      </c>
      <c r="N60" s="6"/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32"/>
      <c r="AJ60" s="23">
        <f>IF(AN60=0,M60,0)</f>
        <v>0</v>
      </c>
      <c r="AK60" s="23">
        <f>IF(AN60=15,M60,0)</f>
        <v>0</v>
      </c>
      <c r="AL60" s="23">
        <f>IF(AN60=21,M60,0)</f>
        <v>0</v>
      </c>
      <c r="AN60" s="33">
        <v>0</v>
      </c>
      <c r="AO60" s="33">
        <f>J60*0.0867705835331735</f>
        <v>0</v>
      </c>
      <c r="AP60" s="33">
        <f>J60*(1-0.0867705835331735)</f>
        <v>0</v>
      </c>
      <c r="AQ60" s="34" t="s">
        <v>13</v>
      </c>
      <c r="AV60" s="33">
        <f>AW60+AX60</f>
        <v>0</v>
      </c>
      <c r="AW60" s="33">
        <f>I60*AO60</f>
        <v>0</v>
      </c>
      <c r="AX60" s="33">
        <f>I60*AP60</f>
        <v>0</v>
      </c>
      <c r="AY60" s="36" t="s">
        <v>233</v>
      </c>
      <c r="AZ60" s="36" t="s">
        <v>245</v>
      </c>
      <c r="BA60" s="32" t="s">
        <v>248</v>
      </c>
      <c r="BC60" s="33">
        <f>AW60+AX60</f>
        <v>0</v>
      </c>
      <c r="BD60" s="33">
        <f>J60/(100-BE60)*100</f>
        <v>0</v>
      </c>
      <c r="BE60" s="33">
        <v>0</v>
      </c>
      <c r="BF60" s="33">
        <f>60</f>
        <v>60</v>
      </c>
      <c r="BH60" s="23">
        <f>I60*AO60</f>
        <v>0</v>
      </c>
      <c r="BI60" s="23">
        <f>I60*AP60</f>
        <v>0</v>
      </c>
      <c r="BJ60" s="23">
        <f>I60*J60</f>
        <v>0</v>
      </c>
      <c r="BK60" s="23" t="s">
        <v>253</v>
      </c>
      <c r="BL60" s="33">
        <v>766</v>
      </c>
    </row>
    <row r="61" spans="1:47" ht="12.75">
      <c r="A61" s="5"/>
      <c r="B61" s="15" t="s">
        <v>95</v>
      </c>
      <c r="C61" s="107" t="s">
        <v>168</v>
      </c>
      <c r="D61" s="108"/>
      <c r="E61" s="108"/>
      <c r="F61" s="108"/>
      <c r="G61" s="108"/>
      <c r="H61" s="21" t="s">
        <v>6</v>
      </c>
      <c r="I61" s="21" t="s">
        <v>6</v>
      </c>
      <c r="J61" s="21" t="s">
        <v>6</v>
      </c>
      <c r="K61" s="39">
        <f>SUM(K62:K62)</f>
        <v>0</v>
      </c>
      <c r="L61" s="39">
        <f>SUM(L62:L62)</f>
        <v>0</v>
      </c>
      <c r="M61" s="42">
        <f>SUM(M62:M62)</f>
        <v>0</v>
      </c>
      <c r="N61" s="6"/>
      <c r="AI61" s="32"/>
      <c r="AS61" s="39">
        <f>SUM(AJ62:AJ62)</f>
        <v>0</v>
      </c>
      <c r="AT61" s="39">
        <f>SUM(AK62:AK62)</f>
        <v>0</v>
      </c>
      <c r="AU61" s="39">
        <f>SUM(AL62:AL62)</f>
        <v>0</v>
      </c>
    </row>
    <row r="62" spans="1:64" ht="12.75">
      <c r="A62" s="4" t="s">
        <v>37</v>
      </c>
      <c r="B62" s="14" t="s">
        <v>96</v>
      </c>
      <c r="C62" s="105" t="s">
        <v>169</v>
      </c>
      <c r="D62" s="106"/>
      <c r="E62" s="106"/>
      <c r="F62" s="106"/>
      <c r="G62" s="106"/>
      <c r="H62" s="14" t="s">
        <v>203</v>
      </c>
      <c r="I62" s="23">
        <v>1</v>
      </c>
      <c r="J62" s="23">
        <v>0</v>
      </c>
      <c r="K62" s="23">
        <f>I62*AO62</f>
        <v>0</v>
      </c>
      <c r="L62" s="23">
        <f>I62*AP62</f>
        <v>0</v>
      </c>
      <c r="M62" s="41">
        <f>I62*J62</f>
        <v>0</v>
      </c>
      <c r="N62" s="6"/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32"/>
      <c r="AJ62" s="23">
        <f>IF(AN62=0,M62,0)</f>
        <v>0</v>
      </c>
      <c r="AK62" s="23">
        <f>IF(AN62=15,M62,0)</f>
        <v>0</v>
      </c>
      <c r="AL62" s="23">
        <f>IF(AN62=21,M62,0)</f>
        <v>0</v>
      </c>
      <c r="AN62" s="33">
        <v>0</v>
      </c>
      <c r="AO62" s="33">
        <f>J62*0.765174643416934</f>
        <v>0</v>
      </c>
      <c r="AP62" s="33">
        <f>J62*(1-0.765174643416934)</f>
        <v>0</v>
      </c>
      <c r="AQ62" s="34" t="s">
        <v>13</v>
      </c>
      <c r="AV62" s="33">
        <f>AW62+AX62</f>
        <v>0</v>
      </c>
      <c r="AW62" s="33">
        <f>I62*AO62</f>
        <v>0</v>
      </c>
      <c r="AX62" s="33">
        <f>I62*AP62</f>
        <v>0</v>
      </c>
      <c r="AY62" s="36" t="s">
        <v>234</v>
      </c>
      <c r="AZ62" s="36" t="s">
        <v>245</v>
      </c>
      <c r="BA62" s="32" t="s">
        <v>248</v>
      </c>
      <c r="BC62" s="33">
        <f>AW62+AX62</f>
        <v>0</v>
      </c>
      <c r="BD62" s="33">
        <f>J62/(100-BE62)*100</f>
        <v>0</v>
      </c>
      <c r="BE62" s="33">
        <v>0</v>
      </c>
      <c r="BF62" s="33">
        <f>62</f>
        <v>62</v>
      </c>
      <c r="BH62" s="23">
        <f>I62*AO62</f>
        <v>0</v>
      </c>
      <c r="BI62" s="23">
        <f>I62*AP62</f>
        <v>0</v>
      </c>
      <c r="BJ62" s="23">
        <f>I62*J62</f>
        <v>0</v>
      </c>
      <c r="BK62" s="23" t="s">
        <v>253</v>
      </c>
      <c r="BL62" s="33">
        <v>767</v>
      </c>
    </row>
    <row r="63" spans="1:47" ht="12.75">
      <c r="A63" s="5"/>
      <c r="B63" s="15" t="s">
        <v>97</v>
      </c>
      <c r="C63" s="107" t="s">
        <v>170</v>
      </c>
      <c r="D63" s="108"/>
      <c r="E63" s="108"/>
      <c r="F63" s="108"/>
      <c r="G63" s="108"/>
      <c r="H63" s="21" t="s">
        <v>6</v>
      </c>
      <c r="I63" s="21" t="s">
        <v>6</v>
      </c>
      <c r="J63" s="21" t="s">
        <v>6</v>
      </c>
      <c r="K63" s="39">
        <f>SUM(K64:K65)</f>
        <v>0</v>
      </c>
      <c r="L63" s="39">
        <f>SUM(L64:L65)</f>
        <v>0</v>
      </c>
      <c r="M63" s="42">
        <f>SUM(M64:M65)</f>
        <v>0</v>
      </c>
      <c r="N63" s="6"/>
      <c r="AI63" s="32"/>
      <c r="AS63" s="39">
        <f>SUM(AJ64:AJ65)</f>
        <v>0</v>
      </c>
      <c r="AT63" s="39">
        <f>SUM(AK64:AK65)</f>
        <v>0</v>
      </c>
      <c r="AU63" s="39">
        <f>SUM(AL64:AL65)</f>
        <v>0</v>
      </c>
    </row>
    <row r="64" spans="1:64" ht="12.75">
      <c r="A64" s="4" t="s">
        <v>38</v>
      </c>
      <c r="B64" s="14" t="s">
        <v>98</v>
      </c>
      <c r="C64" s="105" t="s">
        <v>171</v>
      </c>
      <c r="D64" s="106"/>
      <c r="E64" s="106"/>
      <c r="F64" s="106"/>
      <c r="G64" s="106"/>
      <c r="H64" s="14" t="s">
        <v>200</v>
      </c>
      <c r="I64" s="23">
        <v>51</v>
      </c>
      <c r="J64" s="23">
        <v>0</v>
      </c>
      <c r="K64" s="23">
        <f>I64*AO64</f>
        <v>0</v>
      </c>
      <c r="L64" s="23">
        <f>I64*AP64</f>
        <v>0</v>
      </c>
      <c r="M64" s="41">
        <f>I64*J64</f>
        <v>0</v>
      </c>
      <c r="N64" s="6"/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32"/>
      <c r="AJ64" s="23">
        <f>IF(AN64=0,M64,0)</f>
        <v>0</v>
      </c>
      <c r="AK64" s="23">
        <f>IF(AN64=15,M64,0)</f>
        <v>0</v>
      </c>
      <c r="AL64" s="23">
        <f>IF(AN64=21,M64,0)</f>
        <v>0</v>
      </c>
      <c r="AN64" s="33">
        <v>0</v>
      </c>
      <c r="AO64" s="33">
        <f>J64*0.602488498726118</f>
        <v>0</v>
      </c>
      <c r="AP64" s="33">
        <f>J64*(1-0.602488498726118)</f>
        <v>0</v>
      </c>
      <c r="AQ64" s="34" t="s">
        <v>13</v>
      </c>
      <c r="AV64" s="33">
        <f>AW64+AX64</f>
        <v>0</v>
      </c>
      <c r="AW64" s="33">
        <f>I64*AO64</f>
        <v>0</v>
      </c>
      <c r="AX64" s="33">
        <f>I64*AP64</f>
        <v>0</v>
      </c>
      <c r="AY64" s="36" t="s">
        <v>235</v>
      </c>
      <c r="AZ64" s="36" t="s">
        <v>246</v>
      </c>
      <c r="BA64" s="32" t="s">
        <v>248</v>
      </c>
      <c r="BC64" s="33">
        <f>AW64+AX64</f>
        <v>0</v>
      </c>
      <c r="BD64" s="33">
        <f>J64/(100-BE64)*100</f>
        <v>0</v>
      </c>
      <c r="BE64" s="33">
        <v>0</v>
      </c>
      <c r="BF64" s="33">
        <f>64</f>
        <v>64</v>
      </c>
      <c r="BH64" s="23">
        <f>I64*AO64</f>
        <v>0</v>
      </c>
      <c r="BI64" s="23">
        <f>I64*AP64</f>
        <v>0</v>
      </c>
      <c r="BJ64" s="23">
        <f>I64*J64</f>
        <v>0</v>
      </c>
      <c r="BK64" s="23" t="s">
        <v>253</v>
      </c>
      <c r="BL64" s="33">
        <v>783</v>
      </c>
    </row>
    <row r="65" spans="1:64" ht="12.75">
      <c r="A65" s="4" t="s">
        <v>39</v>
      </c>
      <c r="B65" s="14" t="s">
        <v>99</v>
      </c>
      <c r="C65" s="105" t="s">
        <v>172</v>
      </c>
      <c r="D65" s="106"/>
      <c r="E65" s="106"/>
      <c r="F65" s="106"/>
      <c r="G65" s="106"/>
      <c r="H65" s="14" t="s">
        <v>202</v>
      </c>
      <c r="I65" s="23">
        <v>1</v>
      </c>
      <c r="J65" s="23">
        <v>0</v>
      </c>
      <c r="K65" s="23">
        <f>I65*AO65</f>
        <v>0</v>
      </c>
      <c r="L65" s="23">
        <f>I65*AP65</f>
        <v>0</v>
      </c>
      <c r="M65" s="41">
        <f>I65*J65</f>
        <v>0</v>
      </c>
      <c r="N65" s="6"/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32"/>
      <c r="AJ65" s="23">
        <f>IF(AN65=0,M65,0)</f>
        <v>0</v>
      </c>
      <c r="AK65" s="23">
        <f>IF(AN65=15,M65,0)</f>
        <v>0</v>
      </c>
      <c r="AL65" s="23">
        <f>IF(AN65=21,M65,0)</f>
        <v>0</v>
      </c>
      <c r="AN65" s="33">
        <v>0</v>
      </c>
      <c r="AO65" s="33">
        <f>J65*0.306555519897304</f>
        <v>0</v>
      </c>
      <c r="AP65" s="33">
        <f>J65*(1-0.306555519897304)</f>
        <v>0</v>
      </c>
      <c r="AQ65" s="34" t="s">
        <v>13</v>
      </c>
      <c r="AV65" s="33">
        <f>AW65+AX65</f>
        <v>0</v>
      </c>
      <c r="AW65" s="33">
        <f>I65*AO65</f>
        <v>0</v>
      </c>
      <c r="AX65" s="33">
        <f>I65*AP65</f>
        <v>0</v>
      </c>
      <c r="AY65" s="36" t="s">
        <v>235</v>
      </c>
      <c r="AZ65" s="36" t="s">
        <v>246</v>
      </c>
      <c r="BA65" s="32" t="s">
        <v>248</v>
      </c>
      <c r="BC65" s="33">
        <f>AW65+AX65</f>
        <v>0</v>
      </c>
      <c r="BD65" s="33">
        <f>J65/(100-BE65)*100</f>
        <v>0</v>
      </c>
      <c r="BE65" s="33">
        <v>0</v>
      </c>
      <c r="BF65" s="33">
        <f>65</f>
        <v>65</v>
      </c>
      <c r="BH65" s="23">
        <f>I65*AO65</f>
        <v>0</v>
      </c>
      <c r="BI65" s="23">
        <f>I65*AP65</f>
        <v>0</v>
      </c>
      <c r="BJ65" s="23">
        <f>I65*J65</f>
        <v>0</v>
      </c>
      <c r="BK65" s="23" t="s">
        <v>253</v>
      </c>
      <c r="BL65" s="33">
        <v>783</v>
      </c>
    </row>
    <row r="66" spans="1:14" ht="12.75">
      <c r="A66" s="6"/>
      <c r="B66" s="16" t="s">
        <v>68</v>
      </c>
      <c r="C66" s="109" t="s">
        <v>173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1"/>
      <c r="N66" s="6"/>
    </row>
    <row r="67" spans="1:47" ht="12.75">
      <c r="A67" s="5"/>
      <c r="B67" s="15" t="s">
        <v>100</v>
      </c>
      <c r="C67" s="107" t="s">
        <v>174</v>
      </c>
      <c r="D67" s="108"/>
      <c r="E67" s="108"/>
      <c r="F67" s="108"/>
      <c r="G67" s="108"/>
      <c r="H67" s="21" t="s">
        <v>6</v>
      </c>
      <c r="I67" s="21" t="s">
        <v>6</v>
      </c>
      <c r="J67" s="21" t="s">
        <v>6</v>
      </c>
      <c r="K67" s="39">
        <f>SUM(K68:K68)</f>
        <v>0</v>
      </c>
      <c r="L67" s="39">
        <f>SUM(L68:L68)</f>
        <v>0</v>
      </c>
      <c r="M67" s="42">
        <f>SUM(M68:M68)</f>
        <v>0</v>
      </c>
      <c r="N67" s="6"/>
      <c r="AI67" s="32"/>
      <c r="AS67" s="39">
        <f>SUM(AJ68:AJ68)</f>
        <v>0</v>
      </c>
      <c r="AT67" s="39">
        <f>SUM(AK68:AK68)</f>
        <v>0</v>
      </c>
      <c r="AU67" s="39">
        <f>SUM(AL68:AL68)</f>
        <v>0</v>
      </c>
    </row>
    <row r="68" spans="1:64" ht="12.75">
      <c r="A68" s="4" t="s">
        <v>40</v>
      </c>
      <c r="B68" s="14" t="s">
        <v>101</v>
      </c>
      <c r="C68" s="105" t="s">
        <v>175</v>
      </c>
      <c r="D68" s="106"/>
      <c r="E68" s="106"/>
      <c r="F68" s="106"/>
      <c r="G68" s="106"/>
      <c r="H68" s="14" t="s">
        <v>204</v>
      </c>
      <c r="I68" s="23">
        <v>0.8881</v>
      </c>
      <c r="J68" s="23">
        <v>0</v>
      </c>
      <c r="K68" s="23">
        <f>I68*AO68</f>
        <v>0</v>
      </c>
      <c r="L68" s="23">
        <f>I68*AP68</f>
        <v>0</v>
      </c>
      <c r="M68" s="41">
        <f>I68*J68</f>
        <v>0</v>
      </c>
      <c r="N68" s="6"/>
      <c r="Z68" s="33">
        <f>IF(AQ68="5",BJ68,0)</f>
        <v>0</v>
      </c>
      <c r="AB68" s="33">
        <f>IF(AQ68="1",BH68,0)</f>
        <v>0</v>
      </c>
      <c r="AC68" s="33">
        <f>IF(AQ68="1",BI68,0)</f>
        <v>0</v>
      </c>
      <c r="AD68" s="33">
        <f>IF(AQ68="7",BH68,0)</f>
        <v>0</v>
      </c>
      <c r="AE68" s="33">
        <f>IF(AQ68="7",BI68,0)</f>
        <v>0</v>
      </c>
      <c r="AF68" s="33">
        <f>IF(AQ68="2",BH68,0)</f>
        <v>0</v>
      </c>
      <c r="AG68" s="33">
        <f>IF(AQ68="2",BI68,0)</f>
        <v>0</v>
      </c>
      <c r="AH68" s="33">
        <f>IF(AQ68="0",BJ68,0)</f>
        <v>0</v>
      </c>
      <c r="AI68" s="32"/>
      <c r="AJ68" s="23">
        <f>IF(AN68=0,M68,0)</f>
        <v>0</v>
      </c>
      <c r="AK68" s="23">
        <f>IF(AN68=15,M68,0)</f>
        <v>0</v>
      </c>
      <c r="AL68" s="23">
        <f>IF(AN68=21,M68,0)</f>
        <v>0</v>
      </c>
      <c r="AN68" s="33">
        <v>0</v>
      </c>
      <c r="AO68" s="33">
        <f>J68*0</f>
        <v>0</v>
      </c>
      <c r="AP68" s="33">
        <f>J68*(1-0)</f>
        <v>0</v>
      </c>
      <c r="AQ68" s="34" t="s">
        <v>11</v>
      </c>
      <c r="AV68" s="33">
        <f>AW68+AX68</f>
        <v>0</v>
      </c>
      <c r="AW68" s="33">
        <f>I68*AO68</f>
        <v>0</v>
      </c>
      <c r="AX68" s="33">
        <f>I68*AP68</f>
        <v>0</v>
      </c>
      <c r="AY68" s="36" t="s">
        <v>236</v>
      </c>
      <c r="AZ68" s="36" t="s">
        <v>243</v>
      </c>
      <c r="BA68" s="32" t="s">
        <v>248</v>
      </c>
      <c r="BC68" s="33">
        <f>AW68+AX68</f>
        <v>0</v>
      </c>
      <c r="BD68" s="33">
        <f>J68/(100-BE68)*100</f>
        <v>0</v>
      </c>
      <c r="BE68" s="33">
        <v>0</v>
      </c>
      <c r="BF68" s="33">
        <f>68</f>
        <v>68</v>
      </c>
      <c r="BH68" s="23">
        <f>I68*AO68</f>
        <v>0</v>
      </c>
      <c r="BI68" s="23">
        <f>I68*AP68</f>
        <v>0</v>
      </c>
      <c r="BJ68" s="23">
        <f>I68*J68</f>
        <v>0</v>
      </c>
      <c r="BK68" s="23" t="s">
        <v>253</v>
      </c>
      <c r="BL68" s="33" t="s">
        <v>100</v>
      </c>
    </row>
    <row r="69" spans="1:47" ht="12.75">
      <c r="A69" s="5"/>
      <c r="B69" s="15" t="s">
        <v>102</v>
      </c>
      <c r="C69" s="107" t="s">
        <v>129</v>
      </c>
      <c r="D69" s="108"/>
      <c r="E69" s="108"/>
      <c r="F69" s="108"/>
      <c r="G69" s="108"/>
      <c r="H69" s="21" t="s">
        <v>6</v>
      </c>
      <c r="I69" s="21" t="s">
        <v>6</v>
      </c>
      <c r="J69" s="21" t="s">
        <v>6</v>
      </c>
      <c r="K69" s="39">
        <f>SUM(K70:K70)</f>
        <v>0</v>
      </c>
      <c r="L69" s="39">
        <f>SUM(L70:L70)</f>
        <v>0</v>
      </c>
      <c r="M69" s="42">
        <f>SUM(M70:M70)</f>
        <v>0</v>
      </c>
      <c r="N69" s="6"/>
      <c r="AI69" s="32"/>
      <c r="AS69" s="39">
        <f>SUM(AJ70:AJ70)</f>
        <v>0</v>
      </c>
      <c r="AT69" s="39">
        <f>SUM(AK70:AK70)</f>
        <v>0</v>
      </c>
      <c r="AU69" s="39">
        <f>SUM(AL70:AL70)</f>
        <v>0</v>
      </c>
    </row>
    <row r="70" spans="1:64" ht="12.75">
      <c r="A70" s="4" t="s">
        <v>41</v>
      </c>
      <c r="B70" s="14" t="s">
        <v>103</v>
      </c>
      <c r="C70" s="105" t="s">
        <v>176</v>
      </c>
      <c r="D70" s="106"/>
      <c r="E70" s="106"/>
      <c r="F70" s="106"/>
      <c r="G70" s="106"/>
      <c r="H70" s="14" t="s">
        <v>204</v>
      </c>
      <c r="I70" s="23">
        <v>8.8103</v>
      </c>
      <c r="J70" s="23">
        <v>0</v>
      </c>
      <c r="K70" s="23">
        <f>I70*AO70</f>
        <v>0</v>
      </c>
      <c r="L70" s="23">
        <f>I70*AP70</f>
        <v>0</v>
      </c>
      <c r="M70" s="41">
        <f>I70*J70</f>
        <v>0</v>
      </c>
      <c r="N70" s="6"/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32"/>
      <c r="AJ70" s="23">
        <f>IF(AN70=0,M70,0)</f>
        <v>0</v>
      </c>
      <c r="AK70" s="23">
        <f>IF(AN70=15,M70,0)</f>
        <v>0</v>
      </c>
      <c r="AL70" s="23">
        <f>IF(AN70=21,M70,0)</f>
        <v>0</v>
      </c>
      <c r="AN70" s="33">
        <v>0</v>
      </c>
      <c r="AO70" s="33">
        <f>J70*0</f>
        <v>0</v>
      </c>
      <c r="AP70" s="33">
        <f>J70*(1-0)</f>
        <v>0</v>
      </c>
      <c r="AQ70" s="34" t="s">
        <v>11</v>
      </c>
      <c r="AV70" s="33">
        <f>AW70+AX70</f>
        <v>0</v>
      </c>
      <c r="AW70" s="33">
        <f>I70*AO70</f>
        <v>0</v>
      </c>
      <c r="AX70" s="33">
        <f>I70*AP70</f>
        <v>0</v>
      </c>
      <c r="AY70" s="36" t="s">
        <v>237</v>
      </c>
      <c r="AZ70" s="36" t="s">
        <v>243</v>
      </c>
      <c r="BA70" s="32" t="s">
        <v>248</v>
      </c>
      <c r="BC70" s="33">
        <f>AW70+AX70</f>
        <v>0</v>
      </c>
      <c r="BD70" s="33">
        <f>J70/(100-BE70)*100</f>
        <v>0</v>
      </c>
      <c r="BE70" s="33">
        <v>0</v>
      </c>
      <c r="BF70" s="33">
        <f>70</f>
        <v>70</v>
      </c>
      <c r="BH70" s="23">
        <f>I70*AO70</f>
        <v>0</v>
      </c>
      <c r="BI70" s="23">
        <f>I70*AP70</f>
        <v>0</v>
      </c>
      <c r="BJ70" s="23">
        <f>I70*J70</f>
        <v>0</v>
      </c>
      <c r="BK70" s="23" t="s">
        <v>253</v>
      </c>
      <c r="BL70" s="33" t="s">
        <v>102</v>
      </c>
    </row>
    <row r="71" spans="1:47" ht="12.75">
      <c r="A71" s="5"/>
      <c r="B71" s="15" t="s">
        <v>104</v>
      </c>
      <c r="C71" s="107" t="s">
        <v>144</v>
      </c>
      <c r="D71" s="108"/>
      <c r="E71" s="108"/>
      <c r="F71" s="108"/>
      <c r="G71" s="108"/>
      <c r="H71" s="21" t="s">
        <v>6</v>
      </c>
      <c r="I71" s="21" t="s">
        <v>6</v>
      </c>
      <c r="J71" s="21" t="s">
        <v>6</v>
      </c>
      <c r="K71" s="39">
        <f>SUM(K72:K72)</f>
        <v>0</v>
      </c>
      <c r="L71" s="39">
        <f>SUM(L72:L72)</f>
        <v>0</v>
      </c>
      <c r="M71" s="42">
        <f>SUM(M72:M72)</f>
        <v>0</v>
      </c>
      <c r="N71" s="6"/>
      <c r="AI71" s="32"/>
      <c r="AS71" s="39">
        <f>SUM(AJ72:AJ72)</f>
        <v>0</v>
      </c>
      <c r="AT71" s="39">
        <f>SUM(AK72:AK72)</f>
        <v>0</v>
      </c>
      <c r="AU71" s="39">
        <f>SUM(AL72:AL72)</f>
        <v>0</v>
      </c>
    </row>
    <row r="72" spans="1:64" ht="12.75">
      <c r="A72" s="4" t="s">
        <v>42</v>
      </c>
      <c r="B72" s="14" t="s">
        <v>105</v>
      </c>
      <c r="C72" s="105" t="s">
        <v>177</v>
      </c>
      <c r="D72" s="106"/>
      <c r="E72" s="106"/>
      <c r="F72" s="106"/>
      <c r="G72" s="106"/>
      <c r="H72" s="14" t="s">
        <v>204</v>
      </c>
      <c r="I72" s="23">
        <v>2.0934</v>
      </c>
      <c r="J72" s="23">
        <v>0</v>
      </c>
      <c r="K72" s="23">
        <f>I72*AO72</f>
        <v>0</v>
      </c>
      <c r="L72" s="23">
        <f>I72*AP72</f>
        <v>0</v>
      </c>
      <c r="M72" s="41">
        <f>I72*J72</f>
        <v>0</v>
      </c>
      <c r="N72" s="6"/>
      <c r="Z72" s="33">
        <f>IF(AQ72="5",BJ72,0)</f>
        <v>0</v>
      </c>
      <c r="AB72" s="33">
        <f>IF(AQ72="1",BH72,0)</f>
        <v>0</v>
      </c>
      <c r="AC72" s="33">
        <f>IF(AQ72="1",BI72,0)</f>
        <v>0</v>
      </c>
      <c r="AD72" s="33">
        <f>IF(AQ72="7",BH72,0)</f>
        <v>0</v>
      </c>
      <c r="AE72" s="33">
        <f>IF(AQ72="7",BI72,0)</f>
        <v>0</v>
      </c>
      <c r="AF72" s="33">
        <f>IF(AQ72="2",BH72,0)</f>
        <v>0</v>
      </c>
      <c r="AG72" s="33">
        <f>IF(AQ72="2",BI72,0)</f>
        <v>0</v>
      </c>
      <c r="AH72" s="33">
        <f>IF(AQ72="0",BJ72,0)</f>
        <v>0</v>
      </c>
      <c r="AI72" s="32"/>
      <c r="AJ72" s="23">
        <f>IF(AN72=0,M72,0)</f>
        <v>0</v>
      </c>
      <c r="AK72" s="23">
        <f>IF(AN72=15,M72,0)</f>
        <v>0</v>
      </c>
      <c r="AL72" s="23">
        <f>IF(AN72=21,M72,0)</f>
        <v>0</v>
      </c>
      <c r="AN72" s="33">
        <v>0</v>
      </c>
      <c r="AO72" s="33">
        <f>J72*0</f>
        <v>0</v>
      </c>
      <c r="AP72" s="33">
        <f>J72*(1-0)</f>
        <v>0</v>
      </c>
      <c r="AQ72" s="34" t="s">
        <v>11</v>
      </c>
      <c r="AV72" s="33">
        <f>AW72+AX72</f>
        <v>0</v>
      </c>
      <c r="AW72" s="33">
        <f>I72*AO72</f>
        <v>0</v>
      </c>
      <c r="AX72" s="33">
        <f>I72*AP72</f>
        <v>0</v>
      </c>
      <c r="AY72" s="36" t="s">
        <v>238</v>
      </c>
      <c r="AZ72" s="36" t="s">
        <v>243</v>
      </c>
      <c r="BA72" s="32" t="s">
        <v>248</v>
      </c>
      <c r="BC72" s="33">
        <f>AW72+AX72</f>
        <v>0</v>
      </c>
      <c r="BD72" s="33">
        <f>J72/(100-BE72)*100</f>
        <v>0</v>
      </c>
      <c r="BE72" s="33">
        <v>0</v>
      </c>
      <c r="BF72" s="33">
        <f>72</f>
        <v>72</v>
      </c>
      <c r="BH72" s="23">
        <f>I72*AO72</f>
        <v>0</v>
      </c>
      <c r="BI72" s="23">
        <f>I72*AP72</f>
        <v>0</v>
      </c>
      <c r="BJ72" s="23">
        <f>I72*J72</f>
        <v>0</v>
      </c>
      <c r="BK72" s="23" t="s">
        <v>253</v>
      </c>
      <c r="BL72" s="33" t="s">
        <v>104</v>
      </c>
    </row>
    <row r="73" spans="1:47" ht="12.75">
      <c r="A73" s="5"/>
      <c r="B73" s="15" t="s">
        <v>106</v>
      </c>
      <c r="C73" s="107" t="s">
        <v>156</v>
      </c>
      <c r="D73" s="108"/>
      <c r="E73" s="108"/>
      <c r="F73" s="108"/>
      <c r="G73" s="108"/>
      <c r="H73" s="21" t="s">
        <v>6</v>
      </c>
      <c r="I73" s="21" t="s">
        <v>6</v>
      </c>
      <c r="J73" s="21" t="s">
        <v>6</v>
      </c>
      <c r="K73" s="39">
        <f>SUM(K74:K74)</f>
        <v>0</v>
      </c>
      <c r="L73" s="39">
        <f>SUM(L74:L74)</f>
        <v>0</v>
      </c>
      <c r="M73" s="42">
        <f>SUM(M74:M74)</f>
        <v>0</v>
      </c>
      <c r="N73" s="6"/>
      <c r="AI73" s="32"/>
      <c r="AS73" s="39">
        <f>SUM(AJ74:AJ74)</f>
        <v>0</v>
      </c>
      <c r="AT73" s="39">
        <f>SUM(AK74:AK74)</f>
        <v>0</v>
      </c>
      <c r="AU73" s="39">
        <f>SUM(AL74:AL74)</f>
        <v>0</v>
      </c>
    </row>
    <row r="74" spans="1:64" ht="12.75">
      <c r="A74" s="4" t="s">
        <v>43</v>
      </c>
      <c r="B74" s="14" t="s">
        <v>107</v>
      </c>
      <c r="C74" s="105" t="s">
        <v>178</v>
      </c>
      <c r="D74" s="106"/>
      <c r="E74" s="106"/>
      <c r="F74" s="106"/>
      <c r="G74" s="106"/>
      <c r="H74" s="14" t="s">
        <v>204</v>
      </c>
      <c r="I74" s="23">
        <v>0.71</v>
      </c>
      <c r="J74" s="23">
        <v>0</v>
      </c>
      <c r="K74" s="23">
        <f>I74*AO74</f>
        <v>0</v>
      </c>
      <c r="L74" s="23">
        <f>I74*AP74</f>
        <v>0</v>
      </c>
      <c r="M74" s="41">
        <f>I74*J74</f>
        <v>0</v>
      </c>
      <c r="N74" s="6"/>
      <c r="Z74" s="33">
        <f>IF(AQ74="5",BJ74,0)</f>
        <v>0</v>
      </c>
      <c r="AB74" s="33">
        <f>IF(AQ74="1",BH74,0)</f>
        <v>0</v>
      </c>
      <c r="AC74" s="33">
        <f>IF(AQ74="1",BI74,0)</f>
        <v>0</v>
      </c>
      <c r="AD74" s="33">
        <f>IF(AQ74="7",BH74,0)</f>
        <v>0</v>
      </c>
      <c r="AE74" s="33">
        <f>IF(AQ74="7",BI74,0)</f>
        <v>0</v>
      </c>
      <c r="AF74" s="33">
        <f>IF(AQ74="2",BH74,0)</f>
        <v>0</v>
      </c>
      <c r="AG74" s="33">
        <f>IF(AQ74="2",BI74,0)</f>
        <v>0</v>
      </c>
      <c r="AH74" s="33">
        <f>IF(AQ74="0",BJ74,0)</f>
        <v>0</v>
      </c>
      <c r="AI74" s="32"/>
      <c r="AJ74" s="23">
        <f>IF(AN74=0,M74,0)</f>
        <v>0</v>
      </c>
      <c r="AK74" s="23">
        <f>IF(AN74=15,M74,0)</f>
        <v>0</v>
      </c>
      <c r="AL74" s="23">
        <f>IF(AN74=21,M74,0)</f>
        <v>0</v>
      </c>
      <c r="AN74" s="33">
        <v>0</v>
      </c>
      <c r="AO74" s="33">
        <f>J74*0</f>
        <v>0</v>
      </c>
      <c r="AP74" s="33">
        <f>J74*(1-0)</f>
        <v>0</v>
      </c>
      <c r="AQ74" s="34" t="s">
        <v>11</v>
      </c>
      <c r="AV74" s="33">
        <f>AW74+AX74</f>
        <v>0</v>
      </c>
      <c r="AW74" s="33">
        <f>I74*AO74</f>
        <v>0</v>
      </c>
      <c r="AX74" s="33">
        <f>I74*AP74</f>
        <v>0</v>
      </c>
      <c r="AY74" s="36" t="s">
        <v>239</v>
      </c>
      <c r="AZ74" s="36" t="s">
        <v>243</v>
      </c>
      <c r="BA74" s="32" t="s">
        <v>248</v>
      </c>
      <c r="BC74" s="33">
        <f>AW74+AX74</f>
        <v>0</v>
      </c>
      <c r="BD74" s="33">
        <f>J74/(100-BE74)*100</f>
        <v>0</v>
      </c>
      <c r="BE74" s="33">
        <v>0</v>
      </c>
      <c r="BF74" s="33">
        <f>74</f>
        <v>74</v>
      </c>
      <c r="BH74" s="23">
        <f>I74*AO74</f>
        <v>0</v>
      </c>
      <c r="BI74" s="23">
        <f>I74*AP74</f>
        <v>0</v>
      </c>
      <c r="BJ74" s="23">
        <f>I74*J74</f>
        <v>0</v>
      </c>
      <c r="BK74" s="23" t="s">
        <v>253</v>
      </c>
      <c r="BL74" s="33" t="s">
        <v>106</v>
      </c>
    </row>
    <row r="75" spans="1:47" ht="12.75">
      <c r="A75" s="5"/>
      <c r="B75" s="15" t="s">
        <v>108</v>
      </c>
      <c r="C75" s="107" t="s">
        <v>179</v>
      </c>
      <c r="D75" s="108"/>
      <c r="E75" s="108"/>
      <c r="F75" s="108"/>
      <c r="G75" s="108"/>
      <c r="H75" s="21" t="s">
        <v>6</v>
      </c>
      <c r="I75" s="21" t="s">
        <v>6</v>
      </c>
      <c r="J75" s="21" t="s">
        <v>6</v>
      </c>
      <c r="K75" s="39">
        <f>SUM(K76:K79)</f>
        <v>0</v>
      </c>
      <c r="L75" s="39">
        <f>SUM(L76:L79)</f>
        <v>0</v>
      </c>
      <c r="M75" s="42">
        <f>SUM(M76:M79)</f>
        <v>0</v>
      </c>
      <c r="N75" s="6"/>
      <c r="AI75" s="32"/>
      <c r="AS75" s="39">
        <f>SUM(AJ76:AJ79)</f>
        <v>0</v>
      </c>
      <c r="AT75" s="39">
        <f>SUM(AK76:AK79)</f>
        <v>0</v>
      </c>
      <c r="AU75" s="39">
        <f>SUM(AL76:AL79)</f>
        <v>0</v>
      </c>
    </row>
    <row r="76" spans="1:64" ht="12.75">
      <c r="A76" s="4" t="s">
        <v>44</v>
      </c>
      <c r="B76" s="14" t="s">
        <v>109</v>
      </c>
      <c r="C76" s="105" t="s">
        <v>180</v>
      </c>
      <c r="D76" s="106"/>
      <c r="E76" s="106"/>
      <c r="F76" s="106"/>
      <c r="G76" s="106"/>
      <c r="H76" s="14" t="s">
        <v>202</v>
      </c>
      <c r="I76" s="23">
        <v>1</v>
      </c>
      <c r="J76" s="23">
        <v>0</v>
      </c>
      <c r="K76" s="23">
        <f>I76*AO76</f>
        <v>0</v>
      </c>
      <c r="L76" s="23">
        <f>I76*AP76</f>
        <v>0</v>
      </c>
      <c r="M76" s="41">
        <f>I76*J76</f>
        <v>0</v>
      </c>
      <c r="N76" s="6"/>
      <c r="Z76" s="33">
        <f>IF(AQ76="5",BJ76,0)</f>
        <v>0</v>
      </c>
      <c r="AB76" s="33">
        <f>IF(AQ76="1",BH76,0)</f>
        <v>0</v>
      </c>
      <c r="AC76" s="33">
        <f>IF(AQ76="1",BI76,0)</f>
        <v>0</v>
      </c>
      <c r="AD76" s="33">
        <f>IF(AQ76="7",BH76,0)</f>
        <v>0</v>
      </c>
      <c r="AE76" s="33">
        <f>IF(AQ76="7",BI76,0)</f>
        <v>0</v>
      </c>
      <c r="AF76" s="33">
        <f>IF(AQ76="2",BH76,0)</f>
        <v>0</v>
      </c>
      <c r="AG76" s="33">
        <f>IF(AQ76="2",BI76,0)</f>
        <v>0</v>
      </c>
      <c r="AH76" s="33">
        <f>IF(AQ76="0",BJ76,0)</f>
        <v>0</v>
      </c>
      <c r="AI76" s="32"/>
      <c r="AJ76" s="23">
        <f>IF(AN76=0,M76,0)</f>
        <v>0</v>
      </c>
      <c r="AK76" s="23">
        <f>IF(AN76=15,M76,0)</f>
        <v>0</v>
      </c>
      <c r="AL76" s="23">
        <f>IF(AN76=21,M76,0)</f>
        <v>0</v>
      </c>
      <c r="AN76" s="33">
        <v>0</v>
      </c>
      <c r="AO76" s="33">
        <f>J76*0</f>
        <v>0</v>
      </c>
      <c r="AP76" s="33">
        <f>J76*(1-0)</f>
        <v>0</v>
      </c>
      <c r="AQ76" s="34" t="s">
        <v>11</v>
      </c>
      <c r="AV76" s="33">
        <f>AW76+AX76</f>
        <v>0</v>
      </c>
      <c r="AW76" s="33">
        <f>I76*AO76</f>
        <v>0</v>
      </c>
      <c r="AX76" s="33">
        <f>I76*AP76</f>
        <v>0</v>
      </c>
      <c r="AY76" s="36" t="s">
        <v>240</v>
      </c>
      <c r="AZ76" s="36" t="s">
        <v>243</v>
      </c>
      <c r="BA76" s="32" t="s">
        <v>248</v>
      </c>
      <c r="BC76" s="33">
        <f>AW76+AX76</f>
        <v>0</v>
      </c>
      <c r="BD76" s="33">
        <f>J76/(100-BE76)*100</f>
        <v>0</v>
      </c>
      <c r="BE76" s="33">
        <v>0</v>
      </c>
      <c r="BF76" s="33">
        <f>76</f>
        <v>76</v>
      </c>
      <c r="BH76" s="23">
        <f>I76*AO76</f>
        <v>0</v>
      </c>
      <c r="BI76" s="23">
        <f>I76*AP76</f>
        <v>0</v>
      </c>
      <c r="BJ76" s="23">
        <f>I76*J76</f>
        <v>0</v>
      </c>
      <c r="BK76" s="23" t="s">
        <v>253</v>
      </c>
      <c r="BL76" s="33" t="s">
        <v>108</v>
      </c>
    </row>
    <row r="77" spans="1:64" ht="12.75">
      <c r="A77" s="4" t="s">
        <v>45</v>
      </c>
      <c r="B77" s="14" t="s">
        <v>110</v>
      </c>
      <c r="C77" s="105" t="s">
        <v>181</v>
      </c>
      <c r="D77" s="106"/>
      <c r="E77" s="106"/>
      <c r="F77" s="106"/>
      <c r="G77" s="106"/>
      <c r="H77" s="14" t="s">
        <v>202</v>
      </c>
      <c r="I77" s="23">
        <v>1</v>
      </c>
      <c r="J77" s="23">
        <v>0</v>
      </c>
      <c r="K77" s="23">
        <f>I77*AO77</f>
        <v>0</v>
      </c>
      <c r="L77" s="23">
        <f>I77*AP77</f>
        <v>0</v>
      </c>
      <c r="M77" s="41">
        <f>I77*J77</f>
        <v>0</v>
      </c>
      <c r="N77" s="6"/>
      <c r="Z77" s="33">
        <f>IF(AQ77="5",BJ77,0)</f>
        <v>0</v>
      </c>
      <c r="AB77" s="33">
        <f>IF(AQ77="1",BH77,0)</f>
        <v>0</v>
      </c>
      <c r="AC77" s="33">
        <f>IF(AQ77="1",BI77,0)</f>
        <v>0</v>
      </c>
      <c r="AD77" s="33">
        <f>IF(AQ77="7",BH77,0)</f>
        <v>0</v>
      </c>
      <c r="AE77" s="33">
        <f>IF(AQ77="7",BI77,0)</f>
        <v>0</v>
      </c>
      <c r="AF77" s="33">
        <f>IF(AQ77="2",BH77,0)</f>
        <v>0</v>
      </c>
      <c r="AG77" s="33">
        <f>IF(AQ77="2",BI77,0)</f>
        <v>0</v>
      </c>
      <c r="AH77" s="33">
        <f>IF(AQ77="0",BJ77,0)</f>
        <v>0</v>
      </c>
      <c r="AI77" s="32"/>
      <c r="AJ77" s="23">
        <f>IF(AN77=0,M77,0)</f>
        <v>0</v>
      </c>
      <c r="AK77" s="23">
        <f>IF(AN77=15,M77,0)</f>
        <v>0</v>
      </c>
      <c r="AL77" s="23">
        <f>IF(AN77=21,M77,0)</f>
        <v>0</v>
      </c>
      <c r="AN77" s="33">
        <v>0</v>
      </c>
      <c r="AO77" s="33">
        <f>J77*0</f>
        <v>0</v>
      </c>
      <c r="AP77" s="33">
        <f>J77*(1-0)</f>
        <v>0</v>
      </c>
      <c r="AQ77" s="34" t="s">
        <v>11</v>
      </c>
      <c r="AV77" s="33">
        <f>AW77+AX77</f>
        <v>0</v>
      </c>
      <c r="AW77" s="33">
        <f>I77*AO77</f>
        <v>0</v>
      </c>
      <c r="AX77" s="33">
        <f>I77*AP77</f>
        <v>0</v>
      </c>
      <c r="AY77" s="36" t="s">
        <v>240</v>
      </c>
      <c r="AZ77" s="36" t="s">
        <v>243</v>
      </c>
      <c r="BA77" s="32" t="s">
        <v>248</v>
      </c>
      <c r="BC77" s="33">
        <f>AW77+AX77</f>
        <v>0</v>
      </c>
      <c r="BD77" s="33">
        <f>J77/(100-BE77)*100</f>
        <v>0</v>
      </c>
      <c r="BE77" s="33">
        <v>0</v>
      </c>
      <c r="BF77" s="33">
        <f>77</f>
        <v>77</v>
      </c>
      <c r="BH77" s="23">
        <f>I77*AO77</f>
        <v>0</v>
      </c>
      <c r="BI77" s="23">
        <f>I77*AP77</f>
        <v>0</v>
      </c>
      <c r="BJ77" s="23">
        <f>I77*J77</f>
        <v>0</v>
      </c>
      <c r="BK77" s="23" t="s">
        <v>253</v>
      </c>
      <c r="BL77" s="33" t="s">
        <v>108</v>
      </c>
    </row>
    <row r="78" spans="1:14" ht="12.75">
      <c r="A78" s="6"/>
      <c r="B78" s="16" t="s">
        <v>68</v>
      </c>
      <c r="C78" s="109" t="s">
        <v>182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6"/>
    </row>
    <row r="79" spans="1:64" ht="12.75">
      <c r="A79" s="4" t="s">
        <v>46</v>
      </c>
      <c r="B79" s="14" t="s">
        <v>111</v>
      </c>
      <c r="C79" s="105" t="s">
        <v>183</v>
      </c>
      <c r="D79" s="106"/>
      <c r="E79" s="106"/>
      <c r="F79" s="106"/>
      <c r="G79" s="106"/>
      <c r="H79" s="14" t="s">
        <v>202</v>
      </c>
      <c r="I79" s="23">
        <v>1</v>
      </c>
      <c r="J79" s="23">
        <v>0</v>
      </c>
      <c r="K79" s="23">
        <f>I79*AO79</f>
        <v>0</v>
      </c>
      <c r="L79" s="23">
        <f>I79*AP79</f>
        <v>0</v>
      </c>
      <c r="M79" s="41">
        <f>I79*J79</f>
        <v>0</v>
      </c>
      <c r="N79" s="6"/>
      <c r="Z79" s="33">
        <f>IF(AQ79="5",BJ79,0)</f>
        <v>0</v>
      </c>
      <c r="AB79" s="33">
        <f>IF(AQ79="1",BH79,0)</f>
        <v>0</v>
      </c>
      <c r="AC79" s="33">
        <f>IF(AQ79="1",BI79,0)</f>
        <v>0</v>
      </c>
      <c r="AD79" s="33">
        <f>IF(AQ79="7",BH79,0)</f>
        <v>0</v>
      </c>
      <c r="AE79" s="33">
        <f>IF(AQ79="7",BI79,0)</f>
        <v>0</v>
      </c>
      <c r="AF79" s="33">
        <f>IF(AQ79="2",BH79,0)</f>
        <v>0</v>
      </c>
      <c r="AG79" s="33">
        <f>IF(AQ79="2",BI79,0)</f>
        <v>0</v>
      </c>
      <c r="AH79" s="33">
        <f>IF(AQ79="0",BJ79,0)</f>
        <v>0</v>
      </c>
      <c r="AI79" s="32"/>
      <c r="AJ79" s="23">
        <f>IF(AN79=0,M79,0)</f>
        <v>0</v>
      </c>
      <c r="AK79" s="23">
        <f>IF(AN79=15,M79,0)</f>
        <v>0</v>
      </c>
      <c r="AL79" s="23">
        <f>IF(AN79=21,M79,0)</f>
        <v>0</v>
      </c>
      <c r="AN79" s="33">
        <v>0</v>
      </c>
      <c r="AO79" s="33">
        <f>J79*0</f>
        <v>0</v>
      </c>
      <c r="AP79" s="33">
        <f>J79*(1-0)</f>
        <v>0</v>
      </c>
      <c r="AQ79" s="34" t="s">
        <v>11</v>
      </c>
      <c r="AV79" s="33">
        <f>AW79+AX79</f>
        <v>0</v>
      </c>
      <c r="AW79" s="33">
        <f>I79*AO79</f>
        <v>0</v>
      </c>
      <c r="AX79" s="33">
        <f>I79*AP79</f>
        <v>0</v>
      </c>
      <c r="AY79" s="36" t="s">
        <v>240</v>
      </c>
      <c r="AZ79" s="36" t="s">
        <v>243</v>
      </c>
      <c r="BA79" s="32" t="s">
        <v>248</v>
      </c>
      <c r="BC79" s="33">
        <f>AW79+AX79</f>
        <v>0</v>
      </c>
      <c r="BD79" s="33">
        <f>J79/(100-BE79)*100</f>
        <v>0</v>
      </c>
      <c r="BE79" s="33">
        <v>0</v>
      </c>
      <c r="BF79" s="33">
        <f>79</f>
        <v>79</v>
      </c>
      <c r="BH79" s="23">
        <f>I79*AO79</f>
        <v>0</v>
      </c>
      <c r="BI79" s="23">
        <f>I79*AP79</f>
        <v>0</v>
      </c>
      <c r="BJ79" s="23">
        <f>I79*J79</f>
        <v>0</v>
      </c>
      <c r="BK79" s="23" t="s">
        <v>253</v>
      </c>
      <c r="BL79" s="33" t="s">
        <v>108</v>
      </c>
    </row>
    <row r="80" spans="1:47" ht="12.75">
      <c r="A80" s="5"/>
      <c r="B80" s="15"/>
      <c r="C80" s="107" t="s">
        <v>184</v>
      </c>
      <c r="D80" s="108"/>
      <c r="E80" s="108"/>
      <c r="F80" s="108"/>
      <c r="G80" s="108"/>
      <c r="H80" s="21" t="s">
        <v>6</v>
      </c>
      <c r="I80" s="21" t="s">
        <v>6</v>
      </c>
      <c r="J80" s="21" t="s">
        <v>6</v>
      </c>
      <c r="K80" s="39">
        <f>SUM(K81:K85)</f>
        <v>0</v>
      </c>
      <c r="L80" s="39">
        <f>SUM(L81:L85)</f>
        <v>0</v>
      </c>
      <c r="M80" s="42">
        <f>SUM(M81:M85)</f>
        <v>0</v>
      </c>
      <c r="N80" s="6"/>
      <c r="AI80" s="32"/>
      <c r="AS80" s="39">
        <f>SUM(AJ81:AJ85)</f>
        <v>0</v>
      </c>
      <c r="AT80" s="39">
        <f>SUM(AK81:AK85)</f>
        <v>0</v>
      </c>
      <c r="AU80" s="39">
        <f>SUM(AL81:AL85)</f>
        <v>0</v>
      </c>
    </row>
    <row r="81" spans="1:64" ht="12.75">
      <c r="A81" s="7" t="s">
        <v>47</v>
      </c>
      <c r="B81" s="17" t="s">
        <v>112</v>
      </c>
      <c r="C81" s="112" t="s">
        <v>185</v>
      </c>
      <c r="D81" s="113"/>
      <c r="E81" s="113"/>
      <c r="F81" s="113"/>
      <c r="G81" s="113"/>
      <c r="H81" s="17" t="s">
        <v>200</v>
      </c>
      <c r="I81" s="24">
        <v>1150</v>
      </c>
      <c r="J81" s="24">
        <v>0</v>
      </c>
      <c r="K81" s="24">
        <f>I81*AO81</f>
        <v>0</v>
      </c>
      <c r="L81" s="24">
        <f>I81*AP81</f>
        <v>0</v>
      </c>
      <c r="M81" s="43">
        <f>I81*J81</f>
        <v>0</v>
      </c>
      <c r="N81" s="6"/>
      <c r="Z81" s="33">
        <f>IF(AQ81="5",BJ81,0)</f>
        <v>0</v>
      </c>
      <c r="AB81" s="33">
        <f>IF(AQ81="1",BH81,0)</f>
        <v>0</v>
      </c>
      <c r="AC81" s="33">
        <f>IF(AQ81="1",BI81,0)</f>
        <v>0</v>
      </c>
      <c r="AD81" s="33">
        <f>IF(AQ81="7",BH81,0)</f>
        <v>0</v>
      </c>
      <c r="AE81" s="33">
        <f>IF(AQ81="7",BI81,0)</f>
        <v>0</v>
      </c>
      <c r="AF81" s="33">
        <f>IF(AQ81="2",BH81,0)</f>
        <v>0</v>
      </c>
      <c r="AG81" s="33">
        <f>IF(AQ81="2",BI81,0)</f>
        <v>0</v>
      </c>
      <c r="AH81" s="33">
        <f>IF(AQ81="0",BJ81,0)</f>
        <v>0</v>
      </c>
      <c r="AI81" s="32"/>
      <c r="AJ81" s="24">
        <f>IF(AN81=0,M81,0)</f>
        <v>0</v>
      </c>
      <c r="AK81" s="24">
        <f>IF(AN81=15,M81,0)</f>
        <v>0</v>
      </c>
      <c r="AL81" s="24">
        <f>IF(AN81=21,M81,0)</f>
        <v>0</v>
      </c>
      <c r="AN81" s="33">
        <v>0</v>
      </c>
      <c r="AO81" s="33">
        <f>J81*1</f>
        <v>0</v>
      </c>
      <c r="AP81" s="33">
        <f>J81*(1-1)</f>
        <v>0</v>
      </c>
      <c r="AQ81" s="35" t="s">
        <v>224</v>
      </c>
      <c r="AV81" s="33">
        <f>AW81+AX81</f>
        <v>0</v>
      </c>
      <c r="AW81" s="33">
        <f>I81*AO81</f>
        <v>0</v>
      </c>
      <c r="AX81" s="33">
        <f>I81*AP81</f>
        <v>0</v>
      </c>
      <c r="AY81" s="36" t="s">
        <v>241</v>
      </c>
      <c r="AZ81" s="36" t="s">
        <v>247</v>
      </c>
      <c r="BA81" s="32" t="s">
        <v>248</v>
      </c>
      <c r="BC81" s="33">
        <f>AW81+AX81</f>
        <v>0</v>
      </c>
      <c r="BD81" s="33">
        <f>J81/(100-BE81)*100</f>
        <v>0</v>
      </c>
      <c r="BE81" s="33">
        <v>0</v>
      </c>
      <c r="BF81" s="33">
        <f>81</f>
        <v>81</v>
      </c>
      <c r="BH81" s="24">
        <f>I81*AO81</f>
        <v>0</v>
      </c>
      <c r="BI81" s="24">
        <f>I81*AP81</f>
        <v>0</v>
      </c>
      <c r="BJ81" s="24">
        <f>I81*J81</f>
        <v>0</v>
      </c>
      <c r="BK81" s="24" t="s">
        <v>254</v>
      </c>
      <c r="BL81" s="33"/>
    </row>
    <row r="82" spans="1:64" ht="12.75">
      <c r="A82" s="7" t="s">
        <v>48</v>
      </c>
      <c r="B82" s="17" t="s">
        <v>113</v>
      </c>
      <c r="C82" s="112" t="s">
        <v>186</v>
      </c>
      <c r="D82" s="113"/>
      <c r="E82" s="113"/>
      <c r="F82" s="113"/>
      <c r="G82" s="113"/>
      <c r="H82" s="17" t="s">
        <v>201</v>
      </c>
      <c r="I82" s="24">
        <v>191</v>
      </c>
      <c r="J82" s="24">
        <v>0</v>
      </c>
      <c r="K82" s="24">
        <f>I82*AO82</f>
        <v>0</v>
      </c>
      <c r="L82" s="24">
        <f>I82*AP82</f>
        <v>0</v>
      </c>
      <c r="M82" s="43">
        <f>I82*J82</f>
        <v>0</v>
      </c>
      <c r="N82" s="6"/>
      <c r="Z82" s="33">
        <f>IF(AQ82="5",BJ82,0)</f>
        <v>0</v>
      </c>
      <c r="AB82" s="33">
        <f>IF(AQ82="1",BH82,0)</f>
        <v>0</v>
      </c>
      <c r="AC82" s="33">
        <f>IF(AQ82="1",BI82,0)</f>
        <v>0</v>
      </c>
      <c r="AD82" s="33">
        <f>IF(AQ82="7",BH82,0)</f>
        <v>0</v>
      </c>
      <c r="AE82" s="33">
        <f>IF(AQ82="7",BI82,0)</f>
        <v>0</v>
      </c>
      <c r="AF82" s="33">
        <f>IF(AQ82="2",BH82,0)</f>
        <v>0</v>
      </c>
      <c r="AG82" s="33">
        <f>IF(AQ82="2",BI82,0)</f>
        <v>0</v>
      </c>
      <c r="AH82" s="33">
        <f>IF(AQ82="0",BJ82,0)</f>
        <v>0</v>
      </c>
      <c r="AI82" s="32"/>
      <c r="AJ82" s="24">
        <f>IF(AN82=0,M82,0)</f>
        <v>0</v>
      </c>
      <c r="AK82" s="24">
        <f>IF(AN82=15,M82,0)</f>
        <v>0</v>
      </c>
      <c r="AL82" s="24">
        <f>IF(AN82=21,M82,0)</f>
        <v>0</v>
      </c>
      <c r="AN82" s="33">
        <v>0</v>
      </c>
      <c r="AO82" s="33">
        <f>J82*1</f>
        <v>0</v>
      </c>
      <c r="AP82" s="33">
        <f>J82*(1-1)</f>
        <v>0</v>
      </c>
      <c r="AQ82" s="35" t="s">
        <v>224</v>
      </c>
      <c r="AV82" s="33">
        <f>AW82+AX82</f>
        <v>0</v>
      </c>
      <c r="AW82" s="33">
        <f>I82*AO82</f>
        <v>0</v>
      </c>
      <c r="AX82" s="33">
        <f>I82*AP82</f>
        <v>0</v>
      </c>
      <c r="AY82" s="36" t="s">
        <v>241</v>
      </c>
      <c r="AZ82" s="36" t="s">
        <v>247</v>
      </c>
      <c r="BA82" s="32" t="s">
        <v>248</v>
      </c>
      <c r="BC82" s="33">
        <f>AW82+AX82</f>
        <v>0</v>
      </c>
      <c r="BD82" s="33">
        <f>J82/(100-BE82)*100</f>
        <v>0</v>
      </c>
      <c r="BE82" s="33">
        <v>0</v>
      </c>
      <c r="BF82" s="33">
        <f>82</f>
        <v>82</v>
      </c>
      <c r="BH82" s="24">
        <f>I82*AO82</f>
        <v>0</v>
      </c>
      <c r="BI82" s="24">
        <f>I82*AP82</f>
        <v>0</v>
      </c>
      <c r="BJ82" s="24">
        <f>I82*J82</f>
        <v>0</v>
      </c>
      <c r="BK82" s="24" t="s">
        <v>254</v>
      </c>
      <c r="BL82" s="33"/>
    </row>
    <row r="83" spans="1:64" ht="12.75">
      <c r="A83" s="7" t="s">
        <v>49</v>
      </c>
      <c r="B83" s="17" t="s">
        <v>114</v>
      </c>
      <c r="C83" s="112" t="s">
        <v>187</v>
      </c>
      <c r="D83" s="113"/>
      <c r="E83" s="113"/>
      <c r="F83" s="113"/>
      <c r="G83" s="113"/>
      <c r="H83" s="17" t="s">
        <v>200</v>
      </c>
      <c r="I83" s="24">
        <v>170</v>
      </c>
      <c r="J83" s="24">
        <v>0</v>
      </c>
      <c r="K83" s="24">
        <f>I83*AO83</f>
        <v>0</v>
      </c>
      <c r="L83" s="24">
        <f>I83*AP83</f>
        <v>0</v>
      </c>
      <c r="M83" s="43">
        <f>I83*J83</f>
        <v>0</v>
      </c>
      <c r="N83" s="6"/>
      <c r="Z83" s="33">
        <f>IF(AQ83="5",BJ83,0)</f>
        <v>0</v>
      </c>
      <c r="AB83" s="33">
        <f>IF(AQ83="1",BH83,0)</f>
        <v>0</v>
      </c>
      <c r="AC83" s="33">
        <f>IF(AQ83="1",BI83,0)</f>
        <v>0</v>
      </c>
      <c r="AD83" s="33">
        <f>IF(AQ83="7",BH83,0)</f>
        <v>0</v>
      </c>
      <c r="AE83" s="33">
        <f>IF(AQ83="7",BI83,0)</f>
        <v>0</v>
      </c>
      <c r="AF83" s="33">
        <f>IF(AQ83="2",BH83,0)</f>
        <v>0</v>
      </c>
      <c r="AG83" s="33">
        <f>IF(AQ83="2",BI83,0)</f>
        <v>0</v>
      </c>
      <c r="AH83" s="33">
        <f>IF(AQ83="0",BJ83,0)</f>
        <v>0</v>
      </c>
      <c r="AI83" s="32"/>
      <c r="AJ83" s="24">
        <f>IF(AN83=0,M83,0)</f>
        <v>0</v>
      </c>
      <c r="AK83" s="24">
        <f>IF(AN83=15,M83,0)</f>
        <v>0</v>
      </c>
      <c r="AL83" s="24">
        <f>IF(AN83=21,M83,0)</f>
        <v>0</v>
      </c>
      <c r="AN83" s="33">
        <v>0</v>
      </c>
      <c r="AO83" s="33">
        <f>J83*1</f>
        <v>0</v>
      </c>
      <c r="AP83" s="33">
        <f>J83*(1-1)</f>
        <v>0</v>
      </c>
      <c r="AQ83" s="35" t="s">
        <v>224</v>
      </c>
      <c r="AV83" s="33">
        <f>AW83+AX83</f>
        <v>0</v>
      </c>
      <c r="AW83" s="33">
        <f>I83*AO83</f>
        <v>0</v>
      </c>
      <c r="AX83" s="33">
        <f>I83*AP83</f>
        <v>0</v>
      </c>
      <c r="AY83" s="36" t="s">
        <v>241</v>
      </c>
      <c r="AZ83" s="36" t="s">
        <v>247</v>
      </c>
      <c r="BA83" s="32" t="s">
        <v>248</v>
      </c>
      <c r="BC83" s="33">
        <f>AW83+AX83</f>
        <v>0</v>
      </c>
      <c r="BD83" s="33">
        <f>J83/(100-BE83)*100</f>
        <v>0</v>
      </c>
      <c r="BE83" s="33">
        <v>0</v>
      </c>
      <c r="BF83" s="33">
        <f>83</f>
        <v>83</v>
      </c>
      <c r="BH83" s="24">
        <f>I83*AO83</f>
        <v>0</v>
      </c>
      <c r="BI83" s="24">
        <f>I83*AP83</f>
        <v>0</v>
      </c>
      <c r="BJ83" s="24">
        <f>I83*J83</f>
        <v>0</v>
      </c>
      <c r="BK83" s="24" t="s">
        <v>254</v>
      </c>
      <c r="BL83" s="33"/>
    </row>
    <row r="84" spans="1:64" ht="12.75">
      <c r="A84" s="7" t="s">
        <v>50</v>
      </c>
      <c r="B84" s="17" t="s">
        <v>115</v>
      </c>
      <c r="C84" s="112" t="s">
        <v>188</v>
      </c>
      <c r="D84" s="113"/>
      <c r="E84" s="113"/>
      <c r="F84" s="113"/>
      <c r="G84" s="113"/>
      <c r="H84" s="17" t="s">
        <v>203</v>
      </c>
      <c r="I84" s="24">
        <v>1</v>
      </c>
      <c r="J84" s="24">
        <v>0</v>
      </c>
      <c r="K84" s="24">
        <f>I84*AO84</f>
        <v>0</v>
      </c>
      <c r="L84" s="24">
        <f>I84*AP84</f>
        <v>0</v>
      </c>
      <c r="M84" s="43">
        <f>I84*J84</f>
        <v>0</v>
      </c>
      <c r="N84" s="6"/>
      <c r="Z84" s="33">
        <f>IF(AQ84="5",BJ84,0)</f>
        <v>0</v>
      </c>
      <c r="AB84" s="33">
        <f>IF(AQ84="1",BH84,0)</f>
        <v>0</v>
      </c>
      <c r="AC84" s="33">
        <f>IF(AQ84="1",BI84,0)</f>
        <v>0</v>
      </c>
      <c r="AD84" s="33">
        <f>IF(AQ84="7",BH84,0)</f>
        <v>0</v>
      </c>
      <c r="AE84" s="33">
        <f>IF(AQ84="7",BI84,0)</f>
        <v>0</v>
      </c>
      <c r="AF84" s="33">
        <f>IF(AQ84="2",BH84,0)</f>
        <v>0</v>
      </c>
      <c r="AG84" s="33">
        <f>IF(AQ84="2",BI84,0)</f>
        <v>0</v>
      </c>
      <c r="AH84" s="33">
        <f>IF(AQ84="0",BJ84,0)</f>
        <v>0</v>
      </c>
      <c r="AI84" s="32"/>
      <c r="AJ84" s="24">
        <f>IF(AN84=0,M84,0)</f>
        <v>0</v>
      </c>
      <c r="AK84" s="24">
        <f>IF(AN84=15,M84,0)</f>
        <v>0</v>
      </c>
      <c r="AL84" s="24">
        <f>IF(AN84=21,M84,0)</f>
        <v>0</v>
      </c>
      <c r="AN84" s="33">
        <v>0</v>
      </c>
      <c r="AO84" s="33">
        <f>J84*1</f>
        <v>0</v>
      </c>
      <c r="AP84" s="33">
        <f>J84*(1-1)</f>
        <v>0</v>
      </c>
      <c r="AQ84" s="35" t="s">
        <v>224</v>
      </c>
      <c r="AV84" s="33">
        <f>AW84+AX84</f>
        <v>0</v>
      </c>
      <c r="AW84" s="33">
        <f>I84*AO84</f>
        <v>0</v>
      </c>
      <c r="AX84" s="33">
        <f>I84*AP84</f>
        <v>0</v>
      </c>
      <c r="AY84" s="36" t="s">
        <v>241</v>
      </c>
      <c r="AZ84" s="36" t="s">
        <v>247</v>
      </c>
      <c r="BA84" s="32" t="s">
        <v>248</v>
      </c>
      <c r="BC84" s="33">
        <f>AW84+AX84</f>
        <v>0</v>
      </c>
      <c r="BD84" s="33">
        <f>J84/(100-BE84)*100</f>
        <v>0</v>
      </c>
      <c r="BE84" s="33">
        <v>0</v>
      </c>
      <c r="BF84" s="33">
        <f>84</f>
        <v>84</v>
      </c>
      <c r="BH84" s="24">
        <f>I84*AO84</f>
        <v>0</v>
      </c>
      <c r="BI84" s="24">
        <f>I84*AP84</f>
        <v>0</v>
      </c>
      <c r="BJ84" s="24">
        <f>I84*J84</f>
        <v>0</v>
      </c>
      <c r="BK84" s="24" t="s">
        <v>254</v>
      </c>
      <c r="BL84" s="33"/>
    </row>
    <row r="85" spans="1:64" ht="12.75">
      <c r="A85" s="8" t="s">
        <v>51</v>
      </c>
      <c r="B85" s="18" t="s">
        <v>116</v>
      </c>
      <c r="C85" s="114" t="s">
        <v>189</v>
      </c>
      <c r="D85" s="115"/>
      <c r="E85" s="115"/>
      <c r="F85" s="115"/>
      <c r="G85" s="115"/>
      <c r="H85" s="18" t="s">
        <v>205</v>
      </c>
      <c r="I85" s="25">
        <v>109</v>
      </c>
      <c r="J85" s="25">
        <v>0</v>
      </c>
      <c r="K85" s="25">
        <f>I85*AO85</f>
        <v>0</v>
      </c>
      <c r="L85" s="25">
        <f>I85*AP85</f>
        <v>0</v>
      </c>
      <c r="M85" s="44">
        <f>I85*J85</f>
        <v>0</v>
      </c>
      <c r="N85" s="6"/>
      <c r="Z85" s="33">
        <f>IF(AQ85="5",BJ85,0)</f>
        <v>0</v>
      </c>
      <c r="AB85" s="33">
        <f>IF(AQ85="1",BH85,0)</f>
        <v>0</v>
      </c>
      <c r="AC85" s="33">
        <f>IF(AQ85="1",BI85,0)</f>
        <v>0</v>
      </c>
      <c r="AD85" s="33">
        <f>IF(AQ85="7",BH85,0)</f>
        <v>0</v>
      </c>
      <c r="AE85" s="33">
        <f>IF(AQ85="7",BI85,0)</f>
        <v>0</v>
      </c>
      <c r="AF85" s="33">
        <f>IF(AQ85="2",BH85,0)</f>
        <v>0</v>
      </c>
      <c r="AG85" s="33">
        <f>IF(AQ85="2",BI85,0)</f>
        <v>0</v>
      </c>
      <c r="AH85" s="33">
        <f>IF(AQ85="0",BJ85,0)</f>
        <v>0</v>
      </c>
      <c r="AI85" s="32"/>
      <c r="AJ85" s="24">
        <f>IF(AN85=0,M85,0)</f>
        <v>0</v>
      </c>
      <c r="AK85" s="24">
        <f>IF(AN85=15,M85,0)</f>
        <v>0</v>
      </c>
      <c r="AL85" s="24">
        <f>IF(AN85=21,M85,0)</f>
        <v>0</v>
      </c>
      <c r="AN85" s="33">
        <v>0</v>
      </c>
      <c r="AO85" s="33">
        <f>J85*1</f>
        <v>0</v>
      </c>
      <c r="AP85" s="33">
        <f>J85*(1-1)</f>
        <v>0</v>
      </c>
      <c r="AQ85" s="35" t="s">
        <v>224</v>
      </c>
      <c r="AV85" s="33">
        <f>AW85+AX85</f>
        <v>0</v>
      </c>
      <c r="AW85" s="33">
        <f>I85*AO85</f>
        <v>0</v>
      </c>
      <c r="AX85" s="33">
        <f>I85*AP85</f>
        <v>0</v>
      </c>
      <c r="AY85" s="36" t="s">
        <v>241</v>
      </c>
      <c r="AZ85" s="36" t="s">
        <v>247</v>
      </c>
      <c r="BA85" s="32" t="s">
        <v>248</v>
      </c>
      <c r="BC85" s="33">
        <f>AW85+AX85</f>
        <v>0</v>
      </c>
      <c r="BD85" s="33">
        <f>J85/(100-BE85)*100</f>
        <v>0</v>
      </c>
      <c r="BE85" s="33">
        <v>0</v>
      </c>
      <c r="BF85" s="33">
        <f>85</f>
        <v>85</v>
      </c>
      <c r="BH85" s="24">
        <f>I85*AO85</f>
        <v>0</v>
      </c>
      <c r="BI85" s="24">
        <f>I85*AP85</f>
        <v>0</v>
      </c>
      <c r="BJ85" s="24">
        <f>I85*J85</f>
        <v>0</v>
      </c>
      <c r="BK85" s="24" t="s">
        <v>254</v>
      </c>
      <c r="BL85" s="33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116" t="s">
        <v>212</v>
      </c>
      <c r="L86" s="82"/>
      <c r="M86" s="45">
        <f>M12+M17+M19+M21+M37+M44+M47+M49+M59+M61+M63+M67+M69+M71+M73+M75+M80</f>
        <v>0</v>
      </c>
    </row>
    <row r="87" ht="11.25" customHeight="1">
      <c r="A87" s="10" t="s">
        <v>52</v>
      </c>
    </row>
    <row r="88" spans="1:13" ht="12.75">
      <c r="A88" s="89" t="s">
        <v>53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</sheetData>
  <sheetProtection/>
  <mergeCells count="104">
    <mergeCell ref="A88:M88"/>
    <mergeCell ref="C81:G81"/>
    <mergeCell ref="C82:G82"/>
    <mergeCell ref="C83:G83"/>
    <mergeCell ref="C84:G84"/>
    <mergeCell ref="C85:G85"/>
    <mergeCell ref="K86:L86"/>
    <mergeCell ref="C75:G75"/>
    <mergeCell ref="C76:G76"/>
    <mergeCell ref="C77:G77"/>
    <mergeCell ref="C78:M78"/>
    <mergeCell ref="C79:G79"/>
    <mergeCell ref="C80:G80"/>
    <mergeCell ref="C69:G69"/>
    <mergeCell ref="C70:G70"/>
    <mergeCell ref="C71:G71"/>
    <mergeCell ref="C72:G72"/>
    <mergeCell ref="C73:G73"/>
    <mergeCell ref="C74:G74"/>
    <mergeCell ref="C63:G63"/>
    <mergeCell ref="C64:G64"/>
    <mergeCell ref="C65:G65"/>
    <mergeCell ref="C66:M66"/>
    <mergeCell ref="C67:G67"/>
    <mergeCell ref="C68:G68"/>
    <mergeCell ref="C57:G57"/>
    <mergeCell ref="C58:G58"/>
    <mergeCell ref="C59:G59"/>
    <mergeCell ref="C60:G60"/>
    <mergeCell ref="C61:G61"/>
    <mergeCell ref="C62:G62"/>
    <mergeCell ref="C51:G51"/>
    <mergeCell ref="C52:G52"/>
    <mergeCell ref="C53:G53"/>
    <mergeCell ref="C54:G54"/>
    <mergeCell ref="C55:G55"/>
    <mergeCell ref="C56:G56"/>
    <mergeCell ref="C45:G45"/>
    <mergeCell ref="C46:M46"/>
    <mergeCell ref="C47:G47"/>
    <mergeCell ref="C48:G48"/>
    <mergeCell ref="C49:G49"/>
    <mergeCell ref="C50:G50"/>
    <mergeCell ref="C39:M39"/>
    <mergeCell ref="C40:G40"/>
    <mergeCell ref="C41:M41"/>
    <mergeCell ref="C42:G42"/>
    <mergeCell ref="C43:M43"/>
    <mergeCell ref="C44:G44"/>
    <mergeCell ref="C33:G33"/>
    <mergeCell ref="C34:M34"/>
    <mergeCell ref="C35:G35"/>
    <mergeCell ref="C36:M36"/>
    <mergeCell ref="C37:G37"/>
    <mergeCell ref="C38:G38"/>
    <mergeCell ref="C27:M27"/>
    <mergeCell ref="C28:G28"/>
    <mergeCell ref="C29:M29"/>
    <mergeCell ref="C30:G30"/>
    <mergeCell ref="C31:M31"/>
    <mergeCell ref="C32:G32"/>
    <mergeCell ref="C21:G21"/>
    <mergeCell ref="C22:G22"/>
    <mergeCell ref="C23:G23"/>
    <mergeCell ref="C24:G24"/>
    <mergeCell ref="C25:M25"/>
    <mergeCell ref="C26:G26"/>
    <mergeCell ref="C15:G15"/>
    <mergeCell ref="C16:G16"/>
    <mergeCell ref="C17:G17"/>
    <mergeCell ref="C18:G18"/>
    <mergeCell ref="C19:G19"/>
    <mergeCell ref="C20:G20"/>
    <mergeCell ref="C10:G10"/>
    <mergeCell ref="K10:M10"/>
    <mergeCell ref="C11:G11"/>
    <mergeCell ref="C12:G12"/>
    <mergeCell ref="C13:G13"/>
    <mergeCell ref="C14:G14"/>
    <mergeCell ref="A8:B9"/>
    <mergeCell ref="C8:D9"/>
    <mergeCell ref="E8:F9"/>
    <mergeCell ref="G8:G9"/>
    <mergeCell ref="H8:I9"/>
    <mergeCell ref="J8:M9"/>
    <mergeCell ref="A6:B7"/>
    <mergeCell ref="C6:D7"/>
    <mergeCell ref="E6:F7"/>
    <mergeCell ref="G6:G7"/>
    <mergeCell ref="H6:I7"/>
    <mergeCell ref="J6:M7"/>
    <mergeCell ref="A4:B5"/>
    <mergeCell ref="C4:D5"/>
    <mergeCell ref="E4:F5"/>
    <mergeCell ref="G4:G5"/>
    <mergeCell ref="H4:I5"/>
    <mergeCell ref="J4:M5"/>
    <mergeCell ref="A1:M1"/>
    <mergeCell ref="A2:B3"/>
    <mergeCell ref="C2:D3"/>
    <mergeCell ref="E2:F3"/>
    <mergeCell ref="G2:G3"/>
    <mergeCell ref="H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:C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5" t="s">
        <v>256</v>
      </c>
      <c r="B1" s="76"/>
      <c r="C1" s="76"/>
      <c r="D1" s="76"/>
      <c r="E1" s="76"/>
      <c r="F1" s="76"/>
      <c r="G1" s="76"/>
    </row>
    <row r="2" spans="1:8" ht="12.75">
      <c r="A2" s="77" t="s">
        <v>1</v>
      </c>
      <c r="B2" s="78"/>
      <c r="C2" s="81" t="str">
        <f>'Stavební rozpočet'!C2</f>
        <v>Oprava střechy budova H</v>
      </c>
      <c r="D2" s="84" t="s">
        <v>190</v>
      </c>
      <c r="E2" s="84" t="s">
        <v>6</v>
      </c>
      <c r="F2" s="85" t="s">
        <v>195</v>
      </c>
      <c r="G2" s="117" t="str">
        <f>'Stavební rozpočet'!J2</f>
        <v>Krajská zdravotní a. s. - Nemocnice Chomutov o. z</v>
      </c>
      <c r="H2" s="6"/>
    </row>
    <row r="3" spans="1:8" ht="12.75">
      <c r="A3" s="79"/>
      <c r="B3" s="80"/>
      <c r="C3" s="83"/>
      <c r="D3" s="80"/>
      <c r="E3" s="80"/>
      <c r="F3" s="80"/>
      <c r="G3" s="87"/>
      <c r="H3" s="6"/>
    </row>
    <row r="4" spans="1:8" ht="12.75">
      <c r="A4" s="88" t="s">
        <v>2</v>
      </c>
      <c r="B4" s="80"/>
      <c r="C4" s="89">
        <f>'Stavební rozpočet'!C4</f>
        <v>0</v>
      </c>
      <c r="D4" s="90" t="s">
        <v>191</v>
      </c>
      <c r="E4" s="90" t="s">
        <v>6</v>
      </c>
      <c r="F4" s="89" t="s">
        <v>196</v>
      </c>
      <c r="G4" s="118" t="str">
        <f>'Stavební rozpočet'!J4</f>
        <v> </v>
      </c>
      <c r="H4" s="6"/>
    </row>
    <row r="5" spans="1:8" ht="12.75">
      <c r="A5" s="79"/>
      <c r="B5" s="80"/>
      <c r="C5" s="80"/>
      <c r="D5" s="80"/>
      <c r="E5" s="80"/>
      <c r="F5" s="80"/>
      <c r="G5" s="87"/>
      <c r="H5" s="6"/>
    </row>
    <row r="6" spans="1:8" ht="12.75">
      <c r="A6" s="88" t="s">
        <v>3</v>
      </c>
      <c r="B6" s="80"/>
      <c r="C6" s="89" t="str">
        <f>'Stavební rozpočet'!C6</f>
        <v>Kochova 1185, Chomutov</v>
      </c>
      <c r="D6" s="90" t="s">
        <v>192</v>
      </c>
      <c r="E6" s="90" t="s">
        <v>6</v>
      </c>
      <c r="F6" s="89" t="s">
        <v>197</v>
      </c>
      <c r="G6" s="118"/>
      <c r="H6" s="6"/>
    </row>
    <row r="7" spans="1:8" ht="12.75">
      <c r="A7" s="79"/>
      <c r="B7" s="80"/>
      <c r="C7" s="80"/>
      <c r="D7" s="80"/>
      <c r="E7" s="80"/>
      <c r="F7" s="80"/>
      <c r="G7" s="87"/>
      <c r="H7" s="6"/>
    </row>
    <row r="8" spans="1:8" ht="12.75">
      <c r="A8" s="88" t="s">
        <v>198</v>
      </c>
      <c r="B8" s="80"/>
      <c r="C8" s="89"/>
      <c r="D8" s="90" t="s">
        <v>193</v>
      </c>
      <c r="E8" s="90" t="s">
        <v>194</v>
      </c>
      <c r="F8" s="90" t="s">
        <v>193</v>
      </c>
      <c r="G8" s="118">
        <f>'Stavební rozpočet'!G8</f>
        <v>0</v>
      </c>
      <c r="H8" s="6"/>
    </row>
    <row r="9" spans="1:8" ht="12.75">
      <c r="A9" s="91"/>
      <c r="B9" s="92"/>
      <c r="C9" s="92"/>
      <c r="D9" s="119"/>
      <c r="E9" s="92"/>
      <c r="F9" s="92"/>
      <c r="G9" s="93"/>
      <c r="H9" s="6"/>
    </row>
    <row r="10" spans="1:8" ht="12.75">
      <c r="A10" s="46" t="s">
        <v>257</v>
      </c>
      <c r="B10" s="49" t="s">
        <v>54</v>
      </c>
      <c r="C10" s="51" t="s">
        <v>258</v>
      </c>
      <c r="D10" s="52"/>
      <c r="E10" s="53" t="s">
        <v>259</v>
      </c>
      <c r="F10" s="53" t="s">
        <v>260</v>
      </c>
      <c r="G10" s="53" t="s">
        <v>261</v>
      </c>
      <c r="H10" s="6"/>
    </row>
    <row r="11" spans="1:9" ht="12.75">
      <c r="A11" s="47"/>
      <c r="B11" s="50" t="s">
        <v>55</v>
      </c>
      <c r="C11" s="120" t="s">
        <v>120</v>
      </c>
      <c r="D11" s="80"/>
      <c r="E11" s="55">
        <f>'Stavební rozpočet'!K12</f>
        <v>0</v>
      </c>
      <c r="F11" s="55">
        <f>'Stavební rozpočet'!L12</f>
        <v>0</v>
      </c>
      <c r="G11" s="55">
        <f>'Stavební rozpočet'!M12</f>
        <v>0</v>
      </c>
      <c r="H11" s="33" t="s">
        <v>262</v>
      </c>
      <c r="I11" s="33">
        <f aca="true" t="shared" si="0" ref="I11:I27">IF(H11="F",0,G11)</f>
        <v>0</v>
      </c>
    </row>
    <row r="12" spans="1:9" ht="12.75">
      <c r="A12" s="48"/>
      <c r="B12" s="19" t="s">
        <v>60</v>
      </c>
      <c r="C12" s="90" t="s">
        <v>125</v>
      </c>
      <c r="D12" s="80"/>
      <c r="E12" s="33">
        <f>'Stavební rozpočet'!K17</f>
        <v>0</v>
      </c>
      <c r="F12" s="33">
        <f>'Stavební rozpočet'!L17</f>
        <v>0</v>
      </c>
      <c r="G12" s="33">
        <f>'Stavební rozpočet'!M17</f>
        <v>0</v>
      </c>
      <c r="H12" s="33" t="s">
        <v>262</v>
      </c>
      <c r="I12" s="33">
        <f t="shared" si="0"/>
        <v>0</v>
      </c>
    </row>
    <row r="13" spans="1:9" ht="12.75">
      <c r="A13" s="48"/>
      <c r="B13" s="19" t="s">
        <v>62</v>
      </c>
      <c r="C13" s="90" t="s">
        <v>127</v>
      </c>
      <c r="D13" s="80"/>
      <c r="E13" s="33">
        <f>'Stavební rozpočet'!K19</f>
        <v>0</v>
      </c>
      <c r="F13" s="33">
        <f>'Stavební rozpočet'!L19</f>
        <v>0</v>
      </c>
      <c r="G13" s="33">
        <f>'Stavební rozpočet'!M19</f>
        <v>0</v>
      </c>
      <c r="H13" s="33" t="s">
        <v>262</v>
      </c>
      <c r="I13" s="33">
        <f t="shared" si="0"/>
        <v>0</v>
      </c>
    </row>
    <row r="14" spans="1:9" ht="12.75">
      <c r="A14" s="48"/>
      <c r="B14" s="19" t="s">
        <v>64</v>
      </c>
      <c r="C14" s="90" t="s">
        <v>129</v>
      </c>
      <c r="D14" s="80"/>
      <c r="E14" s="33">
        <f>'Stavební rozpočet'!K21</f>
        <v>0</v>
      </c>
      <c r="F14" s="33">
        <f>'Stavební rozpočet'!L21</f>
        <v>0</v>
      </c>
      <c r="G14" s="33">
        <f>'Stavební rozpočet'!M21</f>
        <v>0</v>
      </c>
      <c r="H14" s="33" t="s">
        <v>262</v>
      </c>
      <c r="I14" s="33">
        <f t="shared" si="0"/>
        <v>0</v>
      </c>
    </row>
    <row r="15" spans="1:9" ht="12.75">
      <c r="A15" s="48"/>
      <c r="B15" s="19" t="s">
        <v>75</v>
      </c>
      <c r="C15" s="90" t="s">
        <v>144</v>
      </c>
      <c r="D15" s="80"/>
      <c r="E15" s="33">
        <f>'Stavební rozpočet'!K37</f>
        <v>0</v>
      </c>
      <c r="F15" s="33">
        <f>'Stavební rozpočet'!L37</f>
        <v>0</v>
      </c>
      <c r="G15" s="33">
        <f>'Stavební rozpočet'!M37</f>
        <v>0</v>
      </c>
      <c r="H15" s="33" t="s">
        <v>262</v>
      </c>
      <c r="I15" s="33">
        <f t="shared" si="0"/>
        <v>0</v>
      </c>
    </row>
    <row r="16" spans="1:9" ht="12.75">
      <c r="A16" s="48"/>
      <c r="B16" s="19" t="s">
        <v>79</v>
      </c>
      <c r="C16" s="90" t="s">
        <v>151</v>
      </c>
      <c r="D16" s="80"/>
      <c r="E16" s="33">
        <f>'Stavební rozpočet'!K44</f>
        <v>0</v>
      </c>
      <c r="F16" s="33">
        <f>'Stavební rozpočet'!L44</f>
        <v>0</v>
      </c>
      <c r="G16" s="33">
        <f>'Stavební rozpočet'!M44</f>
        <v>0</v>
      </c>
      <c r="H16" s="33" t="s">
        <v>262</v>
      </c>
      <c r="I16" s="33">
        <f t="shared" si="0"/>
        <v>0</v>
      </c>
    </row>
    <row r="17" spans="1:9" ht="12.75">
      <c r="A17" s="48"/>
      <c r="B17" s="19" t="s">
        <v>81</v>
      </c>
      <c r="C17" s="90" t="s">
        <v>154</v>
      </c>
      <c r="D17" s="80"/>
      <c r="E17" s="33">
        <f>'Stavební rozpočet'!K47</f>
        <v>0</v>
      </c>
      <c r="F17" s="33">
        <f>'Stavební rozpočet'!L47</f>
        <v>0</v>
      </c>
      <c r="G17" s="33">
        <f>'Stavební rozpočet'!M47</f>
        <v>0</v>
      </c>
      <c r="H17" s="33" t="s">
        <v>262</v>
      </c>
      <c r="I17" s="33">
        <f t="shared" si="0"/>
        <v>0</v>
      </c>
    </row>
    <row r="18" spans="1:9" ht="12.75">
      <c r="A18" s="48"/>
      <c r="B18" s="19" t="s">
        <v>83</v>
      </c>
      <c r="C18" s="90" t="s">
        <v>156</v>
      </c>
      <c r="D18" s="80"/>
      <c r="E18" s="33">
        <f>'Stavební rozpočet'!K49</f>
        <v>0</v>
      </c>
      <c r="F18" s="33">
        <f>'Stavební rozpočet'!L49</f>
        <v>0</v>
      </c>
      <c r="G18" s="33">
        <f>'Stavební rozpočet'!M49</f>
        <v>0</v>
      </c>
      <c r="H18" s="33" t="s">
        <v>262</v>
      </c>
      <c r="I18" s="33">
        <f t="shared" si="0"/>
        <v>0</v>
      </c>
    </row>
    <row r="19" spans="1:9" ht="12.75">
      <c r="A19" s="48"/>
      <c r="B19" s="19" t="s">
        <v>93</v>
      </c>
      <c r="C19" s="90" t="s">
        <v>166</v>
      </c>
      <c r="D19" s="80"/>
      <c r="E19" s="33">
        <f>'Stavební rozpočet'!K59</f>
        <v>0</v>
      </c>
      <c r="F19" s="33">
        <f>'Stavební rozpočet'!L59</f>
        <v>0</v>
      </c>
      <c r="G19" s="33">
        <f>'Stavební rozpočet'!M59</f>
        <v>0</v>
      </c>
      <c r="H19" s="33" t="s">
        <v>262</v>
      </c>
      <c r="I19" s="33">
        <f t="shared" si="0"/>
        <v>0</v>
      </c>
    </row>
    <row r="20" spans="1:9" ht="12.75">
      <c r="A20" s="48"/>
      <c r="B20" s="19" t="s">
        <v>95</v>
      </c>
      <c r="C20" s="90" t="s">
        <v>168</v>
      </c>
      <c r="D20" s="80"/>
      <c r="E20" s="33">
        <f>'Stavební rozpočet'!K61</f>
        <v>0</v>
      </c>
      <c r="F20" s="33">
        <f>'Stavební rozpočet'!L61</f>
        <v>0</v>
      </c>
      <c r="G20" s="33">
        <f>'Stavební rozpočet'!M61</f>
        <v>0</v>
      </c>
      <c r="H20" s="33" t="s">
        <v>262</v>
      </c>
      <c r="I20" s="33">
        <f t="shared" si="0"/>
        <v>0</v>
      </c>
    </row>
    <row r="21" spans="1:9" ht="12.75">
      <c r="A21" s="48"/>
      <c r="B21" s="19" t="s">
        <v>97</v>
      </c>
      <c r="C21" s="90" t="s">
        <v>170</v>
      </c>
      <c r="D21" s="80"/>
      <c r="E21" s="33">
        <f>'Stavební rozpočet'!K63</f>
        <v>0</v>
      </c>
      <c r="F21" s="33">
        <f>'Stavební rozpočet'!L63</f>
        <v>0</v>
      </c>
      <c r="G21" s="33">
        <f>'Stavební rozpočet'!M63</f>
        <v>0</v>
      </c>
      <c r="H21" s="33" t="s">
        <v>262</v>
      </c>
      <c r="I21" s="33">
        <f t="shared" si="0"/>
        <v>0</v>
      </c>
    </row>
    <row r="22" spans="1:9" ht="12.75">
      <c r="A22" s="48"/>
      <c r="B22" s="19" t="s">
        <v>100</v>
      </c>
      <c r="C22" s="90" t="s">
        <v>174</v>
      </c>
      <c r="D22" s="80"/>
      <c r="E22" s="33">
        <f>'Stavební rozpočet'!K67</f>
        <v>0</v>
      </c>
      <c r="F22" s="33">
        <f>'Stavební rozpočet'!L67</f>
        <v>0</v>
      </c>
      <c r="G22" s="33">
        <f>'Stavební rozpočet'!M67</f>
        <v>0</v>
      </c>
      <c r="H22" s="33" t="s">
        <v>262</v>
      </c>
      <c r="I22" s="33">
        <f t="shared" si="0"/>
        <v>0</v>
      </c>
    </row>
    <row r="23" spans="1:9" ht="12.75">
      <c r="A23" s="48"/>
      <c r="B23" s="19" t="s">
        <v>102</v>
      </c>
      <c r="C23" s="90" t="s">
        <v>129</v>
      </c>
      <c r="D23" s="80"/>
      <c r="E23" s="33">
        <f>'Stavební rozpočet'!K69</f>
        <v>0</v>
      </c>
      <c r="F23" s="33">
        <f>'Stavební rozpočet'!L69</f>
        <v>0</v>
      </c>
      <c r="G23" s="33">
        <f>'Stavební rozpočet'!M69</f>
        <v>0</v>
      </c>
      <c r="H23" s="33" t="s">
        <v>262</v>
      </c>
      <c r="I23" s="33">
        <f t="shared" si="0"/>
        <v>0</v>
      </c>
    </row>
    <row r="24" spans="1:9" ht="12.75">
      <c r="A24" s="48"/>
      <c r="B24" s="19" t="s">
        <v>104</v>
      </c>
      <c r="C24" s="90" t="s">
        <v>144</v>
      </c>
      <c r="D24" s="80"/>
      <c r="E24" s="33">
        <f>'Stavební rozpočet'!K71</f>
        <v>0</v>
      </c>
      <c r="F24" s="33">
        <f>'Stavební rozpočet'!L71</f>
        <v>0</v>
      </c>
      <c r="G24" s="33">
        <f>'Stavební rozpočet'!M71</f>
        <v>0</v>
      </c>
      <c r="H24" s="33" t="s">
        <v>262</v>
      </c>
      <c r="I24" s="33">
        <f t="shared" si="0"/>
        <v>0</v>
      </c>
    </row>
    <row r="25" spans="1:9" ht="12.75">
      <c r="A25" s="48"/>
      <c r="B25" s="19" t="s">
        <v>106</v>
      </c>
      <c r="C25" s="90" t="s">
        <v>156</v>
      </c>
      <c r="D25" s="80"/>
      <c r="E25" s="33">
        <f>'Stavební rozpočet'!K73</f>
        <v>0</v>
      </c>
      <c r="F25" s="33">
        <f>'Stavební rozpočet'!L73</f>
        <v>0</v>
      </c>
      <c r="G25" s="33">
        <f>'Stavební rozpočet'!M73</f>
        <v>0</v>
      </c>
      <c r="H25" s="33" t="s">
        <v>262</v>
      </c>
      <c r="I25" s="33">
        <f t="shared" si="0"/>
        <v>0</v>
      </c>
    </row>
    <row r="26" spans="1:9" ht="12.75">
      <c r="A26" s="48"/>
      <c r="B26" s="19" t="s">
        <v>108</v>
      </c>
      <c r="C26" s="90" t="s">
        <v>179</v>
      </c>
      <c r="D26" s="80"/>
      <c r="E26" s="33">
        <f>'Stavební rozpočet'!K75</f>
        <v>0</v>
      </c>
      <c r="F26" s="33">
        <f>'Stavební rozpočet'!L75</f>
        <v>0</v>
      </c>
      <c r="G26" s="33">
        <f>'Stavební rozpočet'!M75</f>
        <v>0</v>
      </c>
      <c r="H26" s="33" t="s">
        <v>262</v>
      </c>
      <c r="I26" s="33">
        <f t="shared" si="0"/>
        <v>0</v>
      </c>
    </row>
    <row r="27" spans="1:9" ht="12.75">
      <c r="A27" s="48"/>
      <c r="B27" s="19"/>
      <c r="C27" s="90" t="s">
        <v>184</v>
      </c>
      <c r="D27" s="80"/>
      <c r="E27" s="33">
        <f>'Stavební rozpočet'!K80</f>
        <v>0</v>
      </c>
      <c r="F27" s="33">
        <f>'Stavební rozpočet'!L80</f>
        <v>0</v>
      </c>
      <c r="G27" s="33">
        <f>'Stavební rozpočet'!M80</f>
        <v>0</v>
      </c>
      <c r="H27" s="33" t="s">
        <v>262</v>
      </c>
      <c r="I27" s="33">
        <f t="shared" si="0"/>
        <v>0</v>
      </c>
    </row>
    <row r="28" spans="6:7" ht="12.75">
      <c r="F28" s="54" t="s">
        <v>212</v>
      </c>
      <c r="G28" s="56">
        <f>SUM(I11:I27)</f>
        <v>0</v>
      </c>
    </row>
  </sheetData>
  <sheetProtection/>
  <mergeCells count="42">
    <mergeCell ref="C23:D23"/>
    <mergeCell ref="C24:D24"/>
    <mergeCell ref="C25:D25"/>
    <mergeCell ref="C26:D26"/>
    <mergeCell ref="C27:D27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57"/>
      <c r="C1" s="121" t="s">
        <v>277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81" t="str">
        <f>'Stavební rozpočet'!C2</f>
        <v>Oprava střechy budova H</v>
      </c>
      <c r="D2" s="82"/>
      <c r="E2" s="85" t="s">
        <v>195</v>
      </c>
      <c r="F2" s="85" t="str">
        <f>'Stavební rozpočet'!J2</f>
        <v>Krajská zdravotní a. s. - Nemocnice Chomutov o. z</v>
      </c>
      <c r="G2" s="78"/>
      <c r="H2" s="85" t="s">
        <v>301</v>
      </c>
      <c r="I2" s="122"/>
      <c r="J2" s="6"/>
    </row>
    <row r="3" spans="1:10" ht="12.75">
      <c r="A3" s="79"/>
      <c r="B3" s="80"/>
      <c r="C3" s="83"/>
      <c r="D3" s="83"/>
      <c r="E3" s="80"/>
      <c r="F3" s="80"/>
      <c r="G3" s="80"/>
      <c r="H3" s="80"/>
      <c r="I3" s="87"/>
      <c r="J3" s="6"/>
    </row>
    <row r="4" spans="1:10" ht="12.75">
      <c r="A4" s="88" t="s">
        <v>2</v>
      </c>
      <c r="B4" s="80"/>
      <c r="C4" s="89">
        <f>'Stavební rozpočet'!C4</f>
        <v>0</v>
      </c>
      <c r="D4" s="80"/>
      <c r="E4" s="89" t="s">
        <v>196</v>
      </c>
      <c r="F4" s="89" t="str">
        <f>'Stavební rozpočet'!J4</f>
        <v> </v>
      </c>
      <c r="G4" s="80"/>
      <c r="H4" s="89" t="s">
        <v>301</v>
      </c>
      <c r="I4" s="123"/>
      <c r="J4" s="6"/>
    </row>
    <row r="5" spans="1:10" ht="12.75">
      <c r="A5" s="79"/>
      <c r="B5" s="80"/>
      <c r="C5" s="80"/>
      <c r="D5" s="80"/>
      <c r="E5" s="80"/>
      <c r="F5" s="80"/>
      <c r="G5" s="80"/>
      <c r="H5" s="80"/>
      <c r="I5" s="87"/>
      <c r="J5" s="6"/>
    </row>
    <row r="6" spans="1:10" ht="12.75">
      <c r="A6" s="88" t="s">
        <v>3</v>
      </c>
      <c r="B6" s="80"/>
      <c r="C6" s="89" t="str">
        <f>'Stavební rozpočet'!C6</f>
        <v>Kochova 1185, Chomutov</v>
      </c>
      <c r="D6" s="80"/>
      <c r="E6" s="89" t="s">
        <v>197</v>
      </c>
      <c r="F6" s="89"/>
      <c r="G6" s="80"/>
      <c r="H6" s="89" t="s">
        <v>301</v>
      </c>
      <c r="I6" s="123"/>
      <c r="J6" s="6"/>
    </row>
    <row r="7" spans="1:10" ht="12.75">
      <c r="A7" s="79"/>
      <c r="B7" s="80"/>
      <c r="C7" s="80"/>
      <c r="D7" s="80"/>
      <c r="E7" s="80"/>
      <c r="F7" s="80"/>
      <c r="G7" s="80"/>
      <c r="H7" s="80"/>
      <c r="I7" s="87"/>
      <c r="J7" s="6"/>
    </row>
    <row r="8" spans="1:10" ht="12.75">
      <c r="A8" s="88" t="s">
        <v>191</v>
      </c>
      <c r="B8" s="80"/>
      <c r="C8" s="89" t="str">
        <f>'Stavební rozpočet'!G4</f>
        <v> </v>
      </c>
      <c r="D8" s="80"/>
      <c r="E8" s="89" t="s">
        <v>192</v>
      </c>
      <c r="F8" s="89" t="str">
        <f>'Stavební rozpočet'!G6</f>
        <v> </v>
      </c>
      <c r="G8" s="80"/>
      <c r="H8" s="90" t="s">
        <v>302</v>
      </c>
      <c r="I8" s="123" t="s">
        <v>51</v>
      </c>
      <c r="J8" s="6"/>
    </row>
    <row r="9" spans="1:10" ht="12.75">
      <c r="A9" s="79"/>
      <c r="B9" s="80"/>
      <c r="C9" s="80"/>
      <c r="D9" s="80"/>
      <c r="E9" s="80"/>
      <c r="F9" s="80"/>
      <c r="G9" s="80"/>
      <c r="H9" s="80"/>
      <c r="I9" s="87"/>
      <c r="J9" s="6"/>
    </row>
    <row r="10" spans="1:10" ht="12.75">
      <c r="A10" s="88" t="s">
        <v>4</v>
      </c>
      <c r="B10" s="80"/>
      <c r="C10" s="89" t="str">
        <f>'Stavební rozpočet'!C8</f>
        <v> </v>
      </c>
      <c r="D10" s="80"/>
      <c r="E10" s="89" t="s">
        <v>198</v>
      </c>
      <c r="F10" s="89"/>
      <c r="G10" s="80"/>
      <c r="H10" s="90" t="s">
        <v>303</v>
      </c>
      <c r="I10" s="118">
        <f>'Stavební rozpočet'!G8</f>
        <v>0</v>
      </c>
      <c r="J10" s="6"/>
    </row>
    <row r="11" spans="1:10" ht="12.75">
      <c r="A11" s="124"/>
      <c r="B11" s="119"/>
      <c r="C11" s="119"/>
      <c r="D11" s="119"/>
      <c r="E11" s="119"/>
      <c r="F11" s="119"/>
      <c r="G11" s="119"/>
      <c r="H11" s="119"/>
      <c r="I11" s="125"/>
      <c r="J11" s="6"/>
    </row>
    <row r="12" spans="1:9" ht="23.25" customHeight="1">
      <c r="A12" s="126" t="s">
        <v>263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8" t="s">
        <v>264</v>
      </c>
      <c r="B13" s="128" t="s">
        <v>275</v>
      </c>
      <c r="C13" s="129"/>
      <c r="D13" s="58" t="s">
        <v>278</v>
      </c>
      <c r="E13" s="128" t="s">
        <v>287</v>
      </c>
      <c r="F13" s="129"/>
      <c r="G13" s="58" t="s">
        <v>288</v>
      </c>
      <c r="H13" s="128" t="s">
        <v>304</v>
      </c>
      <c r="I13" s="129"/>
      <c r="J13" s="6"/>
    </row>
    <row r="14" spans="1:10" ht="15" customHeight="1">
      <c r="A14" s="59" t="s">
        <v>265</v>
      </c>
      <c r="B14" s="63" t="s">
        <v>276</v>
      </c>
      <c r="C14" s="67">
        <f>SUM('Stavební rozpočet'!AB12:AB85)</f>
        <v>0</v>
      </c>
      <c r="D14" s="130" t="s">
        <v>279</v>
      </c>
      <c r="E14" s="131"/>
      <c r="F14" s="67">
        <v>0</v>
      </c>
      <c r="G14" s="130" t="s">
        <v>289</v>
      </c>
      <c r="H14" s="131"/>
      <c r="I14" s="68" t="s">
        <v>224</v>
      </c>
      <c r="J14" s="6"/>
    </row>
    <row r="15" spans="1:10" ht="15" customHeight="1">
      <c r="A15" s="60"/>
      <c r="B15" s="63" t="s">
        <v>213</v>
      </c>
      <c r="C15" s="67">
        <f>SUM('Stavební rozpočet'!AC12:AC85)</f>
        <v>0</v>
      </c>
      <c r="D15" s="130" t="s">
        <v>280</v>
      </c>
      <c r="E15" s="131"/>
      <c r="F15" s="67">
        <v>0</v>
      </c>
      <c r="G15" s="130" t="s">
        <v>290</v>
      </c>
      <c r="H15" s="131"/>
      <c r="I15" s="68" t="s">
        <v>224</v>
      </c>
      <c r="J15" s="6"/>
    </row>
    <row r="16" spans="1:10" ht="15" customHeight="1">
      <c r="A16" s="59" t="s">
        <v>266</v>
      </c>
      <c r="B16" s="63" t="s">
        <v>276</v>
      </c>
      <c r="C16" s="67">
        <f>SUM('Stavební rozpočet'!AD12:AD85)</f>
        <v>0</v>
      </c>
      <c r="D16" s="130" t="s">
        <v>281</v>
      </c>
      <c r="E16" s="131"/>
      <c r="F16" s="67">
        <v>0</v>
      </c>
      <c r="G16" s="130" t="s">
        <v>291</v>
      </c>
      <c r="H16" s="131"/>
      <c r="I16" s="68" t="s">
        <v>224</v>
      </c>
      <c r="J16" s="6"/>
    </row>
    <row r="17" spans="1:10" ht="15" customHeight="1">
      <c r="A17" s="60"/>
      <c r="B17" s="63" t="s">
        <v>213</v>
      </c>
      <c r="C17" s="67">
        <f>SUM('Stavební rozpočet'!AE12:AE85)</f>
        <v>0</v>
      </c>
      <c r="D17" s="130"/>
      <c r="E17" s="131"/>
      <c r="F17" s="68"/>
      <c r="G17" s="130" t="s">
        <v>292</v>
      </c>
      <c r="H17" s="131"/>
      <c r="I17" s="68" t="s">
        <v>224</v>
      </c>
      <c r="J17" s="6"/>
    </row>
    <row r="18" spans="1:10" ht="15" customHeight="1">
      <c r="A18" s="59" t="s">
        <v>267</v>
      </c>
      <c r="B18" s="63" t="s">
        <v>276</v>
      </c>
      <c r="C18" s="67">
        <f>SUM('Stavební rozpočet'!AF12:AF85)</f>
        <v>0</v>
      </c>
      <c r="D18" s="130"/>
      <c r="E18" s="131"/>
      <c r="F18" s="68"/>
      <c r="G18" s="130" t="s">
        <v>179</v>
      </c>
      <c r="H18" s="131"/>
      <c r="I18" s="68" t="s">
        <v>224</v>
      </c>
      <c r="J18" s="6"/>
    </row>
    <row r="19" spans="1:10" ht="15" customHeight="1">
      <c r="A19" s="60"/>
      <c r="B19" s="63" t="s">
        <v>213</v>
      </c>
      <c r="C19" s="67">
        <f>SUM('Stavební rozpočet'!AG12:AG85)</f>
        <v>0</v>
      </c>
      <c r="D19" s="130"/>
      <c r="E19" s="131"/>
      <c r="F19" s="68"/>
      <c r="G19" s="130" t="s">
        <v>293</v>
      </c>
      <c r="H19" s="131"/>
      <c r="I19" s="68" t="s">
        <v>224</v>
      </c>
      <c r="J19" s="6"/>
    </row>
    <row r="20" spans="1:10" ht="15" customHeight="1">
      <c r="A20" s="132" t="s">
        <v>184</v>
      </c>
      <c r="B20" s="133"/>
      <c r="C20" s="67">
        <f>SUM('Stavební rozpočet'!AH12:AH85)</f>
        <v>0</v>
      </c>
      <c r="D20" s="130"/>
      <c r="E20" s="131"/>
      <c r="F20" s="68"/>
      <c r="G20" s="130"/>
      <c r="H20" s="131"/>
      <c r="I20" s="68"/>
      <c r="J20" s="6"/>
    </row>
    <row r="21" spans="1:10" ht="15" customHeight="1">
      <c r="A21" s="132" t="s">
        <v>268</v>
      </c>
      <c r="B21" s="133"/>
      <c r="C21" s="67">
        <f>SUM('Stavební rozpočet'!Z12:Z85)</f>
        <v>0</v>
      </c>
      <c r="D21" s="130"/>
      <c r="E21" s="131"/>
      <c r="F21" s="68"/>
      <c r="G21" s="130"/>
      <c r="H21" s="131"/>
      <c r="I21" s="68"/>
      <c r="J21" s="6"/>
    </row>
    <row r="22" spans="1:10" ht="16.5" customHeight="1">
      <c r="A22" s="132" t="s">
        <v>269</v>
      </c>
      <c r="B22" s="133"/>
      <c r="C22" s="67">
        <f>SUM(C14:C21)</f>
        <v>0</v>
      </c>
      <c r="D22" s="132" t="s">
        <v>282</v>
      </c>
      <c r="E22" s="133"/>
      <c r="F22" s="67">
        <f>SUM(F14:F21)</f>
        <v>0</v>
      </c>
      <c r="G22" s="132" t="s">
        <v>294</v>
      </c>
      <c r="H22" s="133"/>
      <c r="I22" s="67">
        <f>SUM(I14:I21)</f>
        <v>0</v>
      </c>
      <c r="J22" s="6"/>
    </row>
    <row r="23" spans="1:10" ht="15" customHeight="1">
      <c r="A23" s="9"/>
      <c r="B23" s="9"/>
      <c r="C23" s="65"/>
      <c r="D23" s="132" t="s">
        <v>283</v>
      </c>
      <c r="E23" s="133"/>
      <c r="F23" s="69">
        <v>0</v>
      </c>
      <c r="G23" s="132" t="s">
        <v>295</v>
      </c>
      <c r="H23" s="133"/>
      <c r="I23" s="67">
        <v>0</v>
      </c>
      <c r="J23" s="6"/>
    </row>
    <row r="24" spans="4:9" ht="15" customHeight="1">
      <c r="D24" s="9"/>
      <c r="E24" s="9"/>
      <c r="F24" s="70"/>
      <c r="G24" s="132" t="s">
        <v>296</v>
      </c>
      <c r="H24" s="133"/>
      <c r="I24" s="72"/>
    </row>
    <row r="25" spans="6:10" ht="15" customHeight="1">
      <c r="F25" s="71"/>
      <c r="G25" s="132" t="s">
        <v>297</v>
      </c>
      <c r="H25" s="133"/>
      <c r="I25" s="67">
        <v>0</v>
      </c>
      <c r="J25" s="6"/>
    </row>
    <row r="26" spans="1:9" ht="12.75">
      <c r="A26" s="57"/>
      <c r="B26" s="57"/>
      <c r="C26" s="57"/>
      <c r="G26" s="9"/>
      <c r="H26" s="9"/>
      <c r="I26" s="9"/>
    </row>
    <row r="27" spans="1:9" ht="15" customHeight="1">
      <c r="A27" s="134" t="s">
        <v>270</v>
      </c>
      <c r="B27" s="135"/>
      <c r="C27" s="73">
        <f>SUM('Stavební rozpočet'!AJ12:AJ85)+(F22+I22+F23+I23+I24+I25)</f>
        <v>0</v>
      </c>
      <c r="D27" s="66"/>
      <c r="E27" s="57"/>
      <c r="F27" s="57"/>
      <c r="G27" s="57"/>
      <c r="H27" s="57"/>
      <c r="I27" s="57"/>
    </row>
    <row r="28" spans="1:10" ht="15" customHeight="1">
      <c r="A28" s="134" t="s">
        <v>271</v>
      </c>
      <c r="B28" s="135"/>
      <c r="C28" s="73">
        <f>SUM('Stavební rozpočet'!AK12:AK85)</f>
        <v>0</v>
      </c>
      <c r="D28" s="134" t="s">
        <v>284</v>
      </c>
      <c r="E28" s="135"/>
      <c r="F28" s="73">
        <f>ROUND(C28*(15/100),2)</f>
        <v>0</v>
      </c>
      <c r="G28" s="134" t="s">
        <v>298</v>
      </c>
      <c r="H28" s="135"/>
      <c r="I28" s="73">
        <f>SUM(C27:C29)</f>
        <v>0</v>
      </c>
      <c r="J28" s="6"/>
    </row>
    <row r="29" spans="1:10" ht="15" customHeight="1">
      <c r="A29" s="134" t="s">
        <v>272</v>
      </c>
      <c r="B29" s="135"/>
      <c r="C29" s="73">
        <f>SUM('Stavební rozpočet'!AL12:AL85)</f>
        <v>0</v>
      </c>
      <c r="D29" s="134" t="s">
        <v>285</v>
      </c>
      <c r="E29" s="135"/>
      <c r="F29" s="73">
        <f>ROUND(C29*(21/100),2)</f>
        <v>0</v>
      </c>
      <c r="G29" s="134" t="s">
        <v>299</v>
      </c>
      <c r="H29" s="135"/>
      <c r="I29" s="73">
        <f>SUM(F28:F29)+I28</f>
        <v>0</v>
      </c>
      <c r="J29" s="6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10" ht="14.25" customHeight="1">
      <c r="A31" s="136" t="s">
        <v>273</v>
      </c>
      <c r="B31" s="137"/>
      <c r="C31" s="138"/>
      <c r="D31" s="136" t="s">
        <v>286</v>
      </c>
      <c r="E31" s="137"/>
      <c r="F31" s="138"/>
      <c r="G31" s="136" t="s">
        <v>300</v>
      </c>
      <c r="H31" s="137"/>
      <c r="I31" s="138"/>
      <c r="J31" s="31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1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1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1"/>
    </row>
    <row r="35" spans="1:10" ht="14.25" customHeight="1">
      <c r="A35" s="142" t="s">
        <v>274</v>
      </c>
      <c r="B35" s="143"/>
      <c r="C35" s="144"/>
      <c r="D35" s="142" t="s">
        <v>274</v>
      </c>
      <c r="E35" s="143"/>
      <c r="F35" s="144"/>
      <c r="G35" s="142" t="s">
        <v>274</v>
      </c>
      <c r="H35" s="143"/>
      <c r="I35" s="144"/>
      <c r="J35" s="31"/>
    </row>
    <row r="36" spans="1:9" ht="11.25" customHeight="1">
      <c r="A36" s="62" t="s">
        <v>52</v>
      </c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89" t="s">
        <v>53</v>
      </c>
      <c r="B37" s="80"/>
      <c r="C37" s="80"/>
      <c r="D37" s="80"/>
      <c r="E37" s="80"/>
      <c r="F37" s="80"/>
      <c r="G37" s="80"/>
      <c r="H37" s="80"/>
      <c r="I37" s="8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RNstřechy</dc:creator>
  <cp:keywords/>
  <dc:description/>
  <cp:lastModifiedBy>Slavíková Dagmar</cp:lastModifiedBy>
  <cp:lastPrinted>2023-05-16T11:56:16Z</cp:lastPrinted>
  <dcterms:created xsi:type="dcterms:W3CDTF">2023-04-28T11:46:01Z</dcterms:created>
  <dcterms:modified xsi:type="dcterms:W3CDTF">2023-05-16T11:57:58Z</dcterms:modified>
  <cp:category/>
  <cp:version/>
  <cp:contentType/>
  <cp:contentStatus/>
</cp:coreProperties>
</file>