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<sst xmlns="http://schemas.openxmlformats.org/spreadsheetml/2006/main" count="476" uniqueCount="221">
  <si>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</si>
  <si>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</si>
  <si>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</si>
  <si>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</si>
  <si>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</si>
  <si>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</si>
  <si>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</si>
  <si>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</si>
  <si>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</si>
  <si>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</si>
  <si>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</si>
  <si>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</si>
  <si>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</si>
  <si>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</si>
  <si>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</si>
  <si>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</si>
  <si>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</si>
  <si>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</si>
  <si>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</si>
  <si>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</si>
  <si>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</si>
  <si>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</si>
  <si>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</si>
  <si>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</si>
  <si>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</si>
  <si>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</si>
  <si>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</si>
  <si>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</si>
  <si>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</si>
  <si>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</si>
  <si>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</si>
  <si>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</si>
  <si>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Poznámka:</t>
  </si>
  <si>
    <t>Výše uvedené ceny neobsahují sazbu DPH 21%.</t>
  </si>
  <si>
    <t>Kód</t>
  </si>
  <si>
    <t>712</t>
  </si>
  <si>
    <t>71202VD</t>
  </si>
  <si>
    <t>71201VD</t>
  </si>
  <si>
    <t>712341559RT1</t>
  </si>
  <si>
    <t>Varianta:</t>
  </si>
  <si>
    <t>7122754VD</t>
  </si>
  <si>
    <t>7126601VD</t>
  </si>
  <si>
    <t>712841559RT1</t>
  </si>
  <si>
    <t>7122751VD</t>
  </si>
  <si>
    <t>712851559RT1</t>
  </si>
  <si>
    <t>712457VD</t>
  </si>
  <si>
    <t>74</t>
  </si>
  <si>
    <t>74003VD</t>
  </si>
  <si>
    <t>762</t>
  </si>
  <si>
    <t>76213VD</t>
  </si>
  <si>
    <t>764</t>
  </si>
  <si>
    <t>764430VD</t>
  </si>
  <si>
    <t>76481715VD</t>
  </si>
  <si>
    <t>764108VD</t>
  </si>
  <si>
    <t>764122VD</t>
  </si>
  <si>
    <t>783</t>
  </si>
  <si>
    <t>78301VD</t>
  </si>
  <si>
    <t>H712</t>
  </si>
  <si>
    <t>998712103T00</t>
  </si>
  <si>
    <t>H762</t>
  </si>
  <si>
    <t>998762103R00</t>
  </si>
  <si>
    <t>H764</t>
  </si>
  <si>
    <t>998764103R00</t>
  </si>
  <si>
    <t>H800VD</t>
  </si>
  <si>
    <t>80003VD</t>
  </si>
  <si>
    <t>800024VD</t>
  </si>
  <si>
    <t>80086VD</t>
  </si>
  <si>
    <t>63145722</t>
  </si>
  <si>
    <t>62852257</t>
  </si>
  <si>
    <t>28055VD</t>
  </si>
  <si>
    <t>Nemocnice</t>
  </si>
  <si>
    <t>Chomutov</t>
  </si>
  <si>
    <t>Zkrácený popis / Varianta</t>
  </si>
  <si>
    <t>Rozměry</t>
  </si>
  <si>
    <t>Izolace střech (živičné krytiny)</t>
  </si>
  <si>
    <t>Montáž střešní vpustě TOPWET SAN DN 95mm s ochranným košíkem</t>
  </si>
  <si>
    <t>Úklid a zametení střechy před prováděnými pracemi</t>
  </si>
  <si>
    <t>Povlaková krytina střech do 10°, NAIP přitavením - vrchní hydroizolace</t>
  </si>
  <si>
    <t xml:space="preserve">1 vrstva - materiál ve specifikaci 
</t>
  </si>
  <si>
    <t>Opracovaní prostupu střešní krytinou plocha do 1m2</t>
  </si>
  <si>
    <t>Pokládka atikového izolačního klínu</t>
  </si>
  <si>
    <t>materiál ve specifikaci</t>
  </si>
  <si>
    <t>Samostatné vytažení izolace, pásy přitavením</t>
  </si>
  <si>
    <t>1 vrstva - asf.pás ve specifikaci</t>
  </si>
  <si>
    <t>Opracovaní prostupu střešní krytinou plocha do 0,5m2</t>
  </si>
  <si>
    <t>Samostatné vytažení izolace, samolepicími pásy</t>
  </si>
  <si>
    <t>Vyspravení stávajícího podkladu z 10% plochy</t>
  </si>
  <si>
    <t>(částečné vyrovnání nerovností, prořezání boulí, atd.)</t>
  </si>
  <si>
    <t>Elektromontážní práce (silnoproud)</t>
  </si>
  <si>
    <t>Demontáž stávající + montáž nové hromosvodové soustavy</t>
  </si>
  <si>
    <t>drát AlMgSi, ostatní Pz, plast, podběry betonplast, včetně revize
napojení na stávající svody u atiky</t>
  </si>
  <si>
    <t>Konstrukce tesařské</t>
  </si>
  <si>
    <t>Dodávka a montáž podkladní OSB desky pod oplechování atiky, tl. 22mm š. 400mm</t>
  </si>
  <si>
    <t>Konstrukce klempířské</t>
  </si>
  <si>
    <t>Demontáž stávajících klempířských prvků</t>
  </si>
  <si>
    <t>Oplechování zdí (atik) z lak.Pz plechu, rš 500 mm</t>
  </si>
  <si>
    <t>Dodávka a montáž krycí lišty Pz lakovaný, rš 150 mm</t>
  </si>
  <si>
    <t>Dodávka a montáž krycí lišty Pz lakovaný, rš 100 mm</t>
  </si>
  <si>
    <t>Nátěry</t>
  </si>
  <si>
    <t>Nátěr konstr. klemp. 1x základ + 2x vrch</t>
  </si>
  <si>
    <t>Přesun hmot pro povlakové krytiny, výšky do 24 m</t>
  </si>
  <si>
    <t>Přesun hmot pro tesařské konstrukce, výšky do 24 m</t>
  </si>
  <si>
    <t>Přesun hmot pro klempířské konstr., výšky do 24 m</t>
  </si>
  <si>
    <t>Ostatní</t>
  </si>
  <si>
    <t>Výpomoce techniky pro přesun materiálu na střechu, ze střechy</t>
  </si>
  <si>
    <t>Přesun/vyzdvižení konstrukcí na střeše</t>
  </si>
  <si>
    <t>klimatizační jednotky, antenní stožáry, atd</t>
  </si>
  <si>
    <t>Doprava materiálu a řemeslníků na stavbu</t>
  </si>
  <si>
    <t>Ostatní materiál</t>
  </si>
  <si>
    <t>Klín atikový izolační DDP-KL 1000x50x50 mm</t>
  </si>
  <si>
    <t>Pás modifikovaný asfalt s břidl. posypem tl. 5mm</t>
  </si>
  <si>
    <t>Asfaltový samolepící pás tl. 3mm</t>
  </si>
  <si>
    <t>Doba výstavby:</t>
  </si>
  <si>
    <t>Začátek výstavby:</t>
  </si>
  <si>
    <t>Konec výstavby:</t>
  </si>
  <si>
    <t>Zpracováno dne:</t>
  </si>
  <si>
    <t>27.04.2023</t>
  </si>
  <si>
    <t>Objednatel:</t>
  </si>
  <si>
    <t>Projektant:</t>
  </si>
  <si>
    <t>Zhotovitel:</t>
  </si>
  <si>
    <t>Zpracoval:</t>
  </si>
  <si>
    <t>MJ</t>
  </si>
  <si>
    <t>kus</t>
  </si>
  <si>
    <t>m2</t>
  </si>
  <si>
    <t>m</t>
  </si>
  <si>
    <t>soubor</t>
  </si>
  <si>
    <t>t</t>
  </si>
  <si>
    <t>Množství</t>
  </si>
  <si>
    <t> </t>
  </si>
  <si>
    <t>Cena/MJ</t>
  </si>
  <si>
    <t>(Kč)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</si>
  <si>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</si>
  <si>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</si>
  <si>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</si>
  <si>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</si>
  <si>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</si>
  <si>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</si>
  <si>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</si>
  <si>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</si>
  <si>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</si>
  <si>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</si>
  <si>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</si>
  <si>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</si>
  <si>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</si>
  <si>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</si>
  <si>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</si>
  <si>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712_</t>
  </si>
  <si>
    <t>74_</t>
  </si>
  <si>
    <t>762_</t>
  </si>
  <si>
    <t>764_</t>
  </si>
  <si>
    <t>783_</t>
  </si>
  <si>
    <t>H712_</t>
  </si>
  <si>
    <t>H762_</t>
  </si>
  <si>
    <t>H764_</t>
  </si>
  <si>
    <t>H800VD_</t>
  </si>
  <si>
    <t>Z99999_</t>
  </si>
  <si>
    <t>71_</t>
  </si>
  <si>
    <t>76_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</si>
  <si>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</si>
  <si>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</si>
  <si>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</si>
  <si>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</si>
  <si>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</si>
  <si>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</si>
  <si>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</si>
  <si>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</si>
  <si>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</si>
  <si>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</si>
  <si>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</si>
  <si>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</si>
  <si>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</si>
  <si>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</si>
  <si>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</si>
  <si>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</si>
  <si>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</si>
  <si>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</si>
  <si>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</si>
  <si>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</si>
  <si>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</si>
  <si>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</si>
  <si>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</si>
  <si>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</si>
  <si>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</si>
  <si>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</si>
  <si>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</si>
  <si>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</si>
  <si>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</si>
  <si>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</si>
  <si>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Výše uvedené ceny neobsahují sazbu DPH 21%.
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</si>
  <si>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</si>
  <si>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</si>
  <si>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</si>
  <si>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</si>
  <si>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</si>
  <si>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</si>
  <si>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</si>
  <si>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</si>
  <si>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</si>
  <si>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</si>
  <si>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</si>
  <si>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</si>
  <si>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</si>
  <si>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</si>
  <si>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</si>
  <si>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</si>
  <si>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</si>
  <si>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</si>
  <si>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</si>
  <si>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</si>
  <si>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</si>
  <si>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</si>
  <si>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</si>
  <si>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</si>
  <si>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</si>
  <si>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</si>
  <si>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</si>
  <si>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</si>
  <si>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</si>
  <si>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</si>
  <si>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Oprava střech budova B - vertikála 1</t>
  </si>
  <si>
    <t>Oprava střech  budova B - vertikála č.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</si>
</sst>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8" fillId="33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2" fillId="34" borderId="33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6"/>
  <sheetViews>
    <sheetView zoomScalePageLayoutView="0" workbookViewId="0" topLeftCell="A1">
      <pane ySplit="11" topLeftCell="A45" activePane="bottomLeft" state="frozen"/>
      <selection pane="topLeft" activeCell="A1" sqref="A1"/>
      <selection pane="bottomLeft" activeCell="C4" sqref="C4:D5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68.8515625" style="0" customWidth="1"/>
    <col min="5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3" width="14.2812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1</v>
      </c>
      <c r="B2" s="78"/>
      <c r="C2" s="81" t="s">
        <v>220</v>
      </c>
      <c r="D2" s="82"/>
      <c r="E2" s="84" t="s">
        <v>112</v>
      </c>
      <c r="F2" s="78"/>
      <c r="G2" s="84" t="s">
        <v>6</v>
      </c>
      <c r="H2" s="85" t="s">
        <v>117</v>
      </c>
      <c r="I2" s="78"/>
      <c r="J2" s="84" t="s">
        <v>128</v>
      </c>
      <c r="K2" s="78"/>
      <c r="L2" s="78"/>
      <c r="M2" s="86"/>
      <c r="N2" s="5"/>
    </row>
    <row r="3" spans="1:14" ht="12.75">
      <c r="A3" s="79"/>
      <c r="B3" s="80"/>
      <c r="C3" s="83"/>
      <c r="D3" s="83"/>
      <c r="E3" s="80"/>
      <c r="F3" s="80"/>
      <c r="G3" s="80"/>
      <c r="H3" s="80"/>
      <c r="I3" s="80"/>
      <c r="J3" s="80"/>
      <c r="K3" s="80"/>
      <c r="L3" s="80"/>
      <c r="M3" s="87"/>
      <c r="N3" s="5"/>
    </row>
    <row r="4" spans="1:14" ht="12.75">
      <c r="A4" s="88" t="s">
        <v>2</v>
      </c>
      <c r="B4" s="80"/>
      <c r="C4" s="89" t="s">
        <v>70</v>
      </c>
      <c r="D4" s="80"/>
      <c r="E4" s="90" t="s">
        <v>113</v>
      </c>
      <c r="F4" s="80"/>
      <c r="G4" s="90" t="s">
        <v>6</v>
      </c>
      <c r="H4" s="89" t="s">
        <v>118</v>
      </c>
      <c r="I4" s="80"/>
      <c r="J4" s="90" t="s">
        <v>128</v>
      </c>
      <c r="K4" s="80"/>
      <c r="L4" s="80"/>
      <c r="M4" s="87"/>
      <c r="N4" s="5"/>
    </row>
    <row r="5" spans="1:14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7"/>
      <c r="N5" s="5"/>
    </row>
    <row r="6" spans="1:14" ht="12.75">
      <c r="A6" s="88" t="s">
        <v>3</v>
      </c>
      <c r="B6" s="80"/>
      <c r="C6" s="89" t="s">
        <v>71</v>
      </c>
      <c r="D6" s="80"/>
      <c r="E6" s="90" t="s">
        <v>114</v>
      </c>
      <c r="F6" s="80"/>
      <c r="G6" s="90" t="s">
        <v>6</v>
      </c>
      <c r="H6" s="89" t="s">
        <v>119</v>
      </c>
      <c r="I6" s="80"/>
      <c r="J6" s="89"/>
      <c r="K6" s="80"/>
      <c r="L6" s="80"/>
      <c r="M6" s="87"/>
      <c r="N6" s="5"/>
    </row>
    <row r="7" spans="1:14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7"/>
      <c r="N7" s="5"/>
    </row>
    <row r="8" spans="1:14" ht="12.75">
      <c r="A8" s="88" t="s">
        <v>4</v>
      </c>
      <c r="B8" s="80"/>
      <c r="C8" s="89" t="s">
        <v>6</v>
      </c>
      <c r="D8" s="80"/>
      <c r="E8" s="90" t="s">
        <v>115</v>
      </c>
      <c r="F8" s="80"/>
      <c r="G8" s="90" t="s">
        <v>116</v>
      </c>
      <c r="H8" s="89" t="s">
        <v>120</v>
      </c>
      <c r="I8" s="80"/>
      <c r="J8" s="89"/>
      <c r="K8" s="80"/>
      <c r="L8" s="80"/>
      <c r="M8" s="87"/>
      <c r="N8" s="5"/>
    </row>
    <row r="9" spans="1:14" ht="12.7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5"/>
    </row>
    <row r="10" spans="1:64" ht="12.75">
      <c r="A10" s="1" t="s">
        <v>5</v>
      </c>
      <c r="B10" s="11" t="s">
        <v>34</v>
      </c>
      <c r="C10" s="94" t="s">
        <v>72</v>
      </c>
      <c r="D10" s="95"/>
      <c r="E10" s="95"/>
      <c r="F10" s="95"/>
      <c r="G10" s="96"/>
      <c r="H10" s="11" t="s">
        <v>121</v>
      </c>
      <c r="I10" s="22" t="s">
        <v>127</v>
      </c>
      <c r="J10" s="26" t="s">
        <v>129</v>
      </c>
      <c r="K10" s="97" t="s">
        <v>131</v>
      </c>
      <c r="L10" s="98"/>
      <c r="M10" s="99"/>
      <c r="N10" s="31"/>
      <c r="BK10" s="32" t="s">
        <v>165</v>
      </c>
      <c r="BL10" s="37" t="s">
        <v>168</v>
      </c>
    </row>
    <row r="11" spans="1:62" ht="12.75">
      <c r="A11" s="2" t="s">
        <v>6</v>
      </c>
      <c r="B11" s="12" t="s">
        <v>6</v>
      </c>
      <c r="C11" s="100" t="s">
        <v>73</v>
      </c>
      <c r="D11" s="101"/>
      <c r="E11" s="101"/>
      <c r="F11" s="101"/>
      <c r="G11" s="102"/>
      <c r="H11" s="12" t="s">
        <v>6</v>
      </c>
      <c r="I11" s="12" t="s">
        <v>6</v>
      </c>
      <c r="J11" s="27" t="s">
        <v>130</v>
      </c>
      <c r="K11" s="28" t="s">
        <v>132</v>
      </c>
      <c r="L11" s="29" t="s">
        <v>134</v>
      </c>
      <c r="M11" s="30" t="s">
        <v>135</v>
      </c>
      <c r="N11" s="31"/>
      <c r="Z11" s="32" t="s">
        <v>136</v>
      </c>
      <c r="AA11" s="32" t="s">
        <v>137</v>
      </c>
      <c r="AB11" s="32" t="s">
        <v>138</v>
      </c>
      <c r="AC11" s="32" t="s">
        <v>139</v>
      </c>
      <c r="AD11" s="32" t="s">
        <v>140</v>
      </c>
      <c r="AE11" s="32" t="s">
        <v>141</v>
      </c>
      <c r="AF11" s="32" t="s">
        <v>142</v>
      </c>
      <c r="AG11" s="32" t="s">
        <v>143</v>
      </c>
      <c r="AH11" s="32" t="s">
        <v>144</v>
      </c>
      <c r="BH11" s="32" t="s">
        <v>162</v>
      </c>
      <c r="BI11" s="32" t="s">
        <v>163</v>
      </c>
      <c r="BJ11" s="32" t="s">
        <v>164</v>
      </c>
    </row>
    <row r="12" spans="1:47" ht="12.75">
      <c r="A12" s="3"/>
      <c r="B12" s="13" t="s">
        <v>35</v>
      </c>
      <c r="C12" s="103" t="s">
        <v>74</v>
      </c>
      <c r="D12" s="104"/>
      <c r="E12" s="104"/>
      <c r="F12" s="104"/>
      <c r="G12" s="104"/>
      <c r="H12" s="20" t="s">
        <v>6</v>
      </c>
      <c r="I12" s="20" t="s">
        <v>6</v>
      </c>
      <c r="J12" s="20" t="s">
        <v>6</v>
      </c>
      <c r="K12" s="38">
        <f>SUM(K13:K25)</f>
        <v>0</v>
      </c>
      <c r="L12" s="38">
        <f>SUM(L13:L25)</f>
        <v>0</v>
      </c>
      <c r="M12" s="40">
        <f>SUM(M13:M25)</f>
        <v>0</v>
      </c>
      <c r="N12" s="5"/>
      <c r="AI12" s="32"/>
      <c r="AS12" s="39">
        <f>SUM(AJ13:AJ25)</f>
        <v>0</v>
      </c>
      <c r="AT12" s="39">
        <f>SUM(AK13:AK25)</f>
        <v>0</v>
      </c>
      <c r="AU12" s="39">
        <f>SUM(AL13:AL25)</f>
        <v>0</v>
      </c>
    </row>
    <row r="13" spans="1:64" ht="12.75">
      <c r="A13" s="4" t="s">
        <v>7</v>
      </c>
      <c r="B13" s="14" t="s">
        <v>36</v>
      </c>
      <c r="C13" s="105" t="s">
        <v>75</v>
      </c>
      <c r="D13" s="106"/>
      <c r="E13" s="106"/>
      <c r="F13" s="106"/>
      <c r="G13" s="106"/>
      <c r="H13" s="14" t="s">
        <v>122</v>
      </c>
      <c r="I13" s="23">
        <v>2</v>
      </c>
      <c r="J13" s="23">
        <v>0</v>
      </c>
      <c r="K13" s="23">
        <f>I13*AO13</f>
        <v>0</v>
      </c>
      <c r="L13" s="23">
        <f>I13*AP13</f>
        <v>0</v>
      </c>
      <c r="M13" s="41">
        <f>I13*J13</f>
        <v>0</v>
      </c>
      <c r="N13" s="5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32"/>
      <c r="AJ13" s="23">
        <f>IF(AN13=0,M13,0)</f>
        <v>0</v>
      </c>
      <c r="AK13" s="23">
        <f>IF(AN13=15,M13,0)</f>
        <v>0</v>
      </c>
      <c r="AL13" s="23">
        <f>IF(AN13=21,M13,0)</f>
        <v>0</v>
      </c>
      <c r="AN13" s="33">
        <v>0</v>
      </c>
      <c r="AO13" s="33">
        <f>J13*0.666810458634398</f>
        <v>0</v>
      </c>
      <c r="AP13" s="33">
        <f>J13*(1-0.666810458634398)</f>
        <v>0</v>
      </c>
      <c r="AQ13" s="34" t="s">
        <v>13</v>
      </c>
      <c r="AV13" s="33">
        <f>AW13+AX13</f>
        <v>0</v>
      </c>
      <c r="AW13" s="33">
        <f>I13*AO13</f>
        <v>0</v>
      </c>
      <c r="AX13" s="33">
        <f>I13*AP13</f>
        <v>0</v>
      </c>
      <c r="AY13" s="36" t="s">
        <v>146</v>
      </c>
      <c r="AZ13" s="36" t="s">
        <v>156</v>
      </c>
      <c r="BA13" s="32" t="s">
        <v>161</v>
      </c>
      <c r="BC13" s="33">
        <f>AW13+AX13</f>
        <v>0</v>
      </c>
      <c r="BD13" s="33">
        <f>J13/(100-BE13)*100</f>
        <v>0</v>
      </c>
      <c r="BE13" s="33">
        <v>0</v>
      </c>
      <c r="BF13" s="33">
        <f>13</f>
        <v>13</v>
      </c>
      <c r="BH13" s="23">
        <f>I13*AO13</f>
        <v>0</v>
      </c>
      <c r="BI13" s="23">
        <f>I13*AP13</f>
        <v>0</v>
      </c>
      <c r="BJ13" s="23">
        <f>I13*J13</f>
        <v>0</v>
      </c>
      <c r="BK13" s="23" t="s">
        <v>166</v>
      </c>
      <c r="BL13" s="33">
        <v>712</v>
      </c>
    </row>
    <row r="14" spans="1:64" ht="12.75">
      <c r="A14" s="4" t="s">
        <v>8</v>
      </c>
      <c r="B14" s="14" t="s">
        <v>37</v>
      </c>
      <c r="C14" s="105" t="s">
        <v>76</v>
      </c>
      <c r="D14" s="106"/>
      <c r="E14" s="106"/>
      <c r="F14" s="106"/>
      <c r="G14" s="106"/>
      <c r="H14" s="14" t="s">
        <v>123</v>
      </c>
      <c r="I14" s="23">
        <v>207</v>
      </c>
      <c r="J14" s="23">
        <v>0</v>
      </c>
      <c r="K14" s="23">
        <f>I14*AO14</f>
        <v>0</v>
      </c>
      <c r="L14" s="23">
        <f>I14*AP14</f>
        <v>0</v>
      </c>
      <c r="M14" s="41">
        <f>I14*J14</f>
        <v>0</v>
      </c>
      <c r="N14" s="5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32"/>
      <c r="AJ14" s="23">
        <f>IF(AN14=0,M14,0)</f>
        <v>0</v>
      </c>
      <c r="AK14" s="23">
        <f>IF(AN14=15,M14,0)</f>
        <v>0</v>
      </c>
      <c r="AL14" s="23">
        <f>IF(AN14=21,M14,0)</f>
        <v>0</v>
      </c>
      <c r="AN14" s="33">
        <v>0</v>
      </c>
      <c r="AO14" s="33">
        <f>J14*0</f>
        <v>0</v>
      </c>
      <c r="AP14" s="33">
        <f>J14*(1-0)</f>
        <v>0</v>
      </c>
      <c r="AQ14" s="34" t="s">
        <v>13</v>
      </c>
      <c r="AV14" s="33">
        <f>AW14+AX14</f>
        <v>0</v>
      </c>
      <c r="AW14" s="33">
        <f>I14*AO14</f>
        <v>0</v>
      </c>
      <c r="AX14" s="33">
        <f>I14*AP14</f>
        <v>0</v>
      </c>
      <c r="AY14" s="36" t="s">
        <v>146</v>
      </c>
      <c r="AZ14" s="36" t="s">
        <v>156</v>
      </c>
      <c r="BA14" s="32" t="s">
        <v>161</v>
      </c>
      <c r="BC14" s="33">
        <f>AW14+AX14</f>
        <v>0</v>
      </c>
      <c r="BD14" s="33">
        <f>J14/(100-BE14)*100</f>
        <v>0</v>
      </c>
      <c r="BE14" s="33">
        <v>0</v>
      </c>
      <c r="BF14" s="33">
        <f>14</f>
        <v>14</v>
      </c>
      <c r="BH14" s="23">
        <f>I14*AO14</f>
        <v>0</v>
      </c>
      <c r="BI14" s="23">
        <f>I14*AP14</f>
        <v>0</v>
      </c>
      <c r="BJ14" s="23">
        <f>I14*J14</f>
        <v>0</v>
      </c>
      <c r="BK14" s="23" t="s">
        <v>166</v>
      </c>
      <c r="BL14" s="33">
        <v>712</v>
      </c>
    </row>
    <row r="15" spans="1:64" ht="12.75">
      <c r="A15" s="4" t="s">
        <v>9</v>
      </c>
      <c r="B15" s="14" t="s">
        <v>38</v>
      </c>
      <c r="C15" s="105" t="s">
        <v>77</v>
      </c>
      <c r="D15" s="106"/>
      <c r="E15" s="106"/>
      <c r="F15" s="106"/>
      <c r="G15" s="106"/>
      <c r="H15" s="14" t="s">
        <v>123</v>
      </c>
      <c r="I15" s="23">
        <v>207</v>
      </c>
      <c r="J15" s="23">
        <v>0</v>
      </c>
      <c r="K15" s="23">
        <f>I15*AO15</f>
        <v>0</v>
      </c>
      <c r="L15" s="23">
        <f>I15*AP15</f>
        <v>0</v>
      </c>
      <c r="M15" s="41">
        <f>I15*J15</f>
        <v>0</v>
      </c>
      <c r="N15" s="5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32"/>
      <c r="AJ15" s="23">
        <f>IF(AN15=0,M15,0)</f>
        <v>0</v>
      </c>
      <c r="AK15" s="23">
        <f>IF(AN15=15,M15,0)</f>
        <v>0</v>
      </c>
      <c r="AL15" s="23">
        <f>IF(AN15=21,M15,0)</f>
        <v>0</v>
      </c>
      <c r="AN15" s="33">
        <v>0</v>
      </c>
      <c r="AO15" s="33">
        <f>J15*0.0863815294744197</f>
        <v>0</v>
      </c>
      <c r="AP15" s="33">
        <f>J15*(1-0.0863815294744197)</f>
        <v>0</v>
      </c>
      <c r="AQ15" s="34" t="s">
        <v>13</v>
      </c>
      <c r="AV15" s="33">
        <f>AW15+AX15</f>
        <v>0</v>
      </c>
      <c r="AW15" s="33">
        <f>I15*AO15</f>
        <v>0</v>
      </c>
      <c r="AX15" s="33">
        <f>I15*AP15</f>
        <v>0</v>
      </c>
      <c r="AY15" s="36" t="s">
        <v>146</v>
      </c>
      <c r="AZ15" s="36" t="s">
        <v>156</v>
      </c>
      <c r="BA15" s="32" t="s">
        <v>161</v>
      </c>
      <c r="BC15" s="33">
        <f>AW15+AX15</f>
        <v>0</v>
      </c>
      <c r="BD15" s="33">
        <f>J15/(100-BE15)*100</f>
        <v>0</v>
      </c>
      <c r="BE15" s="33">
        <v>0</v>
      </c>
      <c r="BF15" s="33">
        <f>15</f>
        <v>15</v>
      </c>
      <c r="BH15" s="23">
        <f>I15*AO15</f>
        <v>0</v>
      </c>
      <c r="BI15" s="23">
        <f>I15*AP15</f>
        <v>0</v>
      </c>
      <c r="BJ15" s="23">
        <f>I15*J15</f>
        <v>0</v>
      </c>
      <c r="BK15" s="23" t="s">
        <v>166</v>
      </c>
      <c r="BL15" s="33">
        <v>712</v>
      </c>
    </row>
    <row r="16" spans="1:14" ht="12.75">
      <c r="A16" s="5"/>
      <c r="B16" s="15" t="s">
        <v>39</v>
      </c>
      <c r="C16" s="107" t="s">
        <v>78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5"/>
    </row>
    <row r="17" spans="1:64" ht="12.75">
      <c r="A17" s="4" t="s">
        <v>10</v>
      </c>
      <c r="B17" s="14" t="s">
        <v>40</v>
      </c>
      <c r="C17" s="105" t="s">
        <v>79</v>
      </c>
      <c r="D17" s="106"/>
      <c r="E17" s="106"/>
      <c r="F17" s="106"/>
      <c r="G17" s="106"/>
      <c r="H17" s="14" t="s">
        <v>122</v>
      </c>
      <c r="I17" s="23">
        <v>5</v>
      </c>
      <c r="J17" s="23">
        <v>0</v>
      </c>
      <c r="K17" s="23">
        <f>I17*AO17</f>
        <v>0</v>
      </c>
      <c r="L17" s="23">
        <f>I17*AP17</f>
        <v>0</v>
      </c>
      <c r="M17" s="41">
        <f>I17*J17</f>
        <v>0</v>
      </c>
      <c r="N17" s="5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32"/>
      <c r="AJ17" s="23">
        <f>IF(AN17=0,M17,0)</f>
        <v>0</v>
      </c>
      <c r="AK17" s="23">
        <f>IF(AN17=15,M17,0)</f>
        <v>0</v>
      </c>
      <c r="AL17" s="23">
        <f>IF(AN17=21,M17,0)</f>
        <v>0</v>
      </c>
      <c r="AN17" s="33">
        <v>0</v>
      </c>
      <c r="AO17" s="33">
        <f>J17*0.299755611689565</f>
        <v>0</v>
      </c>
      <c r="AP17" s="33">
        <f>J17*(1-0.299755611689565)</f>
        <v>0</v>
      </c>
      <c r="AQ17" s="34" t="s">
        <v>13</v>
      </c>
      <c r="AV17" s="33">
        <f>AW17+AX17</f>
        <v>0</v>
      </c>
      <c r="AW17" s="33">
        <f>I17*AO17</f>
        <v>0</v>
      </c>
      <c r="AX17" s="33">
        <f>I17*AP17</f>
        <v>0</v>
      </c>
      <c r="AY17" s="36" t="s">
        <v>146</v>
      </c>
      <c r="AZ17" s="36" t="s">
        <v>156</v>
      </c>
      <c r="BA17" s="32" t="s">
        <v>161</v>
      </c>
      <c r="BC17" s="33">
        <f>AW17+AX17</f>
        <v>0</v>
      </c>
      <c r="BD17" s="33">
        <f>J17/(100-BE17)*100</f>
        <v>0</v>
      </c>
      <c r="BE17" s="33">
        <v>0</v>
      </c>
      <c r="BF17" s="33">
        <f>17</f>
        <v>17</v>
      </c>
      <c r="BH17" s="23">
        <f>I17*AO17</f>
        <v>0</v>
      </c>
      <c r="BI17" s="23">
        <f>I17*AP17</f>
        <v>0</v>
      </c>
      <c r="BJ17" s="23">
        <f>I17*J17</f>
        <v>0</v>
      </c>
      <c r="BK17" s="23" t="s">
        <v>166</v>
      </c>
      <c r="BL17" s="33">
        <v>712</v>
      </c>
    </row>
    <row r="18" spans="1:64" ht="12.75">
      <c r="A18" s="4" t="s">
        <v>11</v>
      </c>
      <c r="B18" s="14" t="s">
        <v>41</v>
      </c>
      <c r="C18" s="105" t="s">
        <v>80</v>
      </c>
      <c r="D18" s="106"/>
      <c r="E18" s="106"/>
      <c r="F18" s="106"/>
      <c r="G18" s="106"/>
      <c r="H18" s="14" t="s">
        <v>124</v>
      </c>
      <c r="I18" s="23">
        <v>86</v>
      </c>
      <c r="J18" s="23">
        <v>0</v>
      </c>
      <c r="K18" s="23">
        <f>I18*AO18</f>
        <v>0</v>
      </c>
      <c r="L18" s="23">
        <f>I18*AP18</f>
        <v>0</v>
      </c>
      <c r="M18" s="41">
        <f>I18*J18</f>
        <v>0</v>
      </c>
      <c r="N18" s="5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32"/>
      <c r="AJ18" s="23">
        <f>IF(AN18=0,M18,0)</f>
        <v>0</v>
      </c>
      <c r="AK18" s="23">
        <f>IF(AN18=15,M18,0)</f>
        <v>0</v>
      </c>
      <c r="AL18" s="23">
        <f>IF(AN18=21,M18,0)</f>
        <v>0</v>
      </c>
      <c r="AN18" s="33">
        <v>0</v>
      </c>
      <c r="AO18" s="33">
        <f>J18*0</f>
        <v>0</v>
      </c>
      <c r="AP18" s="33">
        <f>J18*(1-0)</f>
        <v>0</v>
      </c>
      <c r="AQ18" s="34" t="s">
        <v>13</v>
      </c>
      <c r="AV18" s="33">
        <f>AW18+AX18</f>
        <v>0</v>
      </c>
      <c r="AW18" s="33">
        <f>I18*AO18</f>
        <v>0</v>
      </c>
      <c r="AX18" s="33">
        <f>I18*AP18</f>
        <v>0</v>
      </c>
      <c r="AY18" s="36" t="s">
        <v>146</v>
      </c>
      <c r="AZ18" s="36" t="s">
        <v>156</v>
      </c>
      <c r="BA18" s="32" t="s">
        <v>161</v>
      </c>
      <c r="BC18" s="33">
        <f>AW18+AX18</f>
        <v>0</v>
      </c>
      <c r="BD18" s="33">
        <f>J18/(100-BE18)*100</f>
        <v>0</v>
      </c>
      <c r="BE18" s="33">
        <v>0</v>
      </c>
      <c r="BF18" s="33">
        <f>18</f>
        <v>18</v>
      </c>
      <c r="BH18" s="23">
        <f>I18*AO18</f>
        <v>0</v>
      </c>
      <c r="BI18" s="23">
        <f>I18*AP18</f>
        <v>0</v>
      </c>
      <c r="BJ18" s="23">
        <f>I18*J18</f>
        <v>0</v>
      </c>
      <c r="BK18" s="23" t="s">
        <v>166</v>
      </c>
      <c r="BL18" s="33">
        <v>712</v>
      </c>
    </row>
    <row r="19" spans="1:14" ht="12.75">
      <c r="A19" s="5"/>
      <c r="B19" s="15" t="s">
        <v>39</v>
      </c>
      <c r="C19" s="107" t="s">
        <v>81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5"/>
    </row>
    <row r="20" spans="1:64" ht="12.75">
      <c r="A20" s="4" t="s">
        <v>12</v>
      </c>
      <c r="B20" s="14" t="s">
        <v>42</v>
      </c>
      <c r="C20" s="105" t="s">
        <v>82</v>
      </c>
      <c r="D20" s="106"/>
      <c r="E20" s="106"/>
      <c r="F20" s="106"/>
      <c r="G20" s="106"/>
      <c r="H20" s="14" t="s">
        <v>123</v>
      </c>
      <c r="I20" s="23">
        <v>58</v>
      </c>
      <c r="J20" s="23">
        <v>0</v>
      </c>
      <c r="K20" s="23">
        <f>I20*AO20</f>
        <v>0</v>
      </c>
      <c r="L20" s="23">
        <f>I20*AP20</f>
        <v>0</v>
      </c>
      <c r="M20" s="41">
        <f>I20*J20</f>
        <v>0</v>
      </c>
      <c r="N20" s="5"/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32"/>
      <c r="AJ20" s="23">
        <f>IF(AN20=0,M20,0)</f>
        <v>0</v>
      </c>
      <c r="AK20" s="23">
        <f>IF(AN20=15,M20,0)</f>
        <v>0</v>
      </c>
      <c r="AL20" s="23">
        <f>IF(AN20=21,M20,0)</f>
        <v>0</v>
      </c>
      <c r="AN20" s="33">
        <v>0</v>
      </c>
      <c r="AO20" s="33">
        <f>J20*0.0364539007092199</f>
        <v>0</v>
      </c>
      <c r="AP20" s="33">
        <f>J20*(1-0.0364539007092199)</f>
        <v>0</v>
      </c>
      <c r="AQ20" s="34" t="s">
        <v>13</v>
      </c>
      <c r="AV20" s="33">
        <f>AW20+AX20</f>
        <v>0</v>
      </c>
      <c r="AW20" s="33">
        <f>I20*AO20</f>
        <v>0</v>
      </c>
      <c r="AX20" s="33">
        <f>I20*AP20</f>
        <v>0</v>
      </c>
      <c r="AY20" s="36" t="s">
        <v>146</v>
      </c>
      <c r="AZ20" s="36" t="s">
        <v>156</v>
      </c>
      <c r="BA20" s="32" t="s">
        <v>161</v>
      </c>
      <c r="BC20" s="33">
        <f>AW20+AX20</f>
        <v>0</v>
      </c>
      <c r="BD20" s="33">
        <f>J20/(100-BE20)*100</f>
        <v>0</v>
      </c>
      <c r="BE20" s="33">
        <v>0</v>
      </c>
      <c r="BF20" s="33">
        <f>20</f>
        <v>20</v>
      </c>
      <c r="BH20" s="23">
        <f>I20*AO20</f>
        <v>0</v>
      </c>
      <c r="BI20" s="23">
        <f>I20*AP20</f>
        <v>0</v>
      </c>
      <c r="BJ20" s="23">
        <f>I20*J20</f>
        <v>0</v>
      </c>
      <c r="BK20" s="23" t="s">
        <v>166</v>
      </c>
      <c r="BL20" s="33">
        <v>712</v>
      </c>
    </row>
    <row r="21" spans="1:14" ht="12.75">
      <c r="A21" s="5"/>
      <c r="B21" s="15" t="s">
        <v>39</v>
      </c>
      <c r="C21" s="107" t="s">
        <v>83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9"/>
      <c r="N21" s="5"/>
    </row>
    <row r="22" spans="1:64" ht="12.75">
      <c r="A22" s="4" t="s">
        <v>13</v>
      </c>
      <c r="B22" s="14" t="s">
        <v>43</v>
      </c>
      <c r="C22" s="105" t="s">
        <v>84</v>
      </c>
      <c r="D22" s="106"/>
      <c r="E22" s="106"/>
      <c r="F22" s="106"/>
      <c r="G22" s="106"/>
      <c r="H22" s="14" t="s">
        <v>122</v>
      </c>
      <c r="I22" s="23">
        <v>6</v>
      </c>
      <c r="J22" s="23">
        <v>0</v>
      </c>
      <c r="K22" s="23">
        <f>I22*AO22</f>
        <v>0</v>
      </c>
      <c r="L22" s="23">
        <f>I22*AP22</f>
        <v>0</v>
      </c>
      <c r="M22" s="41">
        <f>I22*J22</f>
        <v>0</v>
      </c>
      <c r="N22" s="5"/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32"/>
      <c r="AJ22" s="23">
        <f>IF(AN22=0,M22,0)</f>
        <v>0</v>
      </c>
      <c r="AK22" s="23">
        <f>IF(AN22=15,M22,0)</f>
        <v>0</v>
      </c>
      <c r="AL22" s="23">
        <f>IF(AN22=21,M22,0)</f>
        <v>0</v>
      </c>
      <c r="AN22" s="33">
        <v>0</v>
      </c>
      <c r="AO22" s="33">
        <f>J22*0.289415011037528</f>
        <v>0</v>
      </c>
      <c r="AP22" s="33">
        <f>J22*(1-0.289415011037528)</f>
        <v>0</v>
      </c>
      <c r="AQ22" s="34" t="s">
        <v>13</v>
      </c>
      <c r="AV22" s="33">
        <f>AW22+AX22</f>
        <v>0</v>
      </c>
      <c r="AW22" s="33">
        <f>I22*AO22</f>
        <v>0</v>
      </c>
      <c r="AX22" s="33">
        <f>I22*AP22</f>
        <v>0</v>
      </c>
      <c r="AY22" s="36" t="s">
        <v>146</v>
      </c>
      <c r="AZ22" s="36" t="s">
        <v>156</v>
      </c>
      <c r="BA22" s="32" t="s">
        <v>161</v>
      </c>
      <c r="BC22" s="33">
        <f>AW22+AX22</f>
        <v>0</v>
      </c>
      <c r="BD22" s="33">
        <f>J22/(100-BE22)*100</f>
        <v>0</v>
      </c>
      <c r="BE22" s="33">
        <v>0</v>
      </c>
      <c r="BF22" s="33">
        <f>22</f>
        <v>22</v>
      </c>
      <c r="BH22" s="23">
        <f>I22*AO22</f>
        <v>0</v>
      </c>
      <c r="BI22" s="23">
        <f>I22*AP22</f>
        <v>0</v>
      </c>
      <c r="BJ22" s="23">
        <f>I22*J22</f>
        <v>0</v>
      </c>
      <c r="BK22" s="23" t="s">
        <v>166</v>
      </c>
      <c r="BL22" s="33">
        <v>712</v>
      </c>
    </row>
    <row r="23" spans="1:64" ht="12.75">
      <c r="A23" s="4" t="s">
        <v>14</v>
      </c>
      <c r="B23" s="14" t="s">
        <v>44</v>
      </c>
      <c r="C23" s="105" t="s">
        <v>85</v>
      </c>
      <c r="D23" s="106"/>
      <c r="E23" s="106"/>
      <c r="F23" s="106"/>
      <c r="G23" s="106"/>
      <c r="H23" s="14" t="s">
        <v>123</v>
      </c>
      <c r="I23" s="23">
        <v>58</v>
      </c>
      <c r="J23" s="23">
        <v>0</v>
      </c>
      <c r="K23" s="23">
        <f>I23*AO23</f>
        <v>0</v>
      </c>
      <c r="L23" s="23">
        <f>I23*AP23</f>
        <v>0</v>
      </c>
      <c r="M23" s="41">
        <f>I23*J23</f>
        <v>0</v>
      </c>
      <c r="N23" s="5"/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32"/>
      <c r="AJ23" s="23">
        <f>IF(AN23=0,M23,0)</f>
        <v>0</v>
      </c>
      <c r="AK23" s="23">
        <f>IF(AN23=15,M23,0)</f>
        <v>0</v>
      </c>
      <c r="AL23" s="23">
        <f>IF(AN23=21,M23,0)</f>
        <v>0</v>
      </c>
      <c r="AN23" s="33">
        <v>0</v>
      </c>
      <c r="AO23" s="33">
        <f>J23*0</f>
        <v>0</v>
      </c>
      <c r="AP23" s="33">
        <f>J23*(1-0)</f>
        <v>0</v>
      </c>
      <c r="AQ23" s="34" t="s">
        <v>13</v>
      </c>
      <c r="AV23" s="33">
        <f>AW23+AX23</f>
        <v>0</v>
      </c>
      <c r="AW23" s="33">
        <f>I23*AO23</f>
        <v>0</v>
      </c>
      <c r="AX23" s="33">
        <f>I23*AP23</f>
        <v>0</v>
      </c>
      <c r="AY23" s="36" t="s">
        <v>146</v>
      </c>
      <c r="AZ23" s="36" t="s">
        <v>156</v>
      </c>
      <c r="BA23" s="32" t="s">
        <v>161</v>
      </c>
      <c r="BC23" s="33">
        <f>AW23+AX23</f>
        <v>0</v>
      </c>
      <c r="BD23" s="33">
        <f>J23/(100-BE23)*100</f>
        <v>0</v>
      </c>
      <c r="BE23" s="33">
        <v>0</v>
      </c>
      <c r="BF23" s="33">
        <f>23</f>
        <v>23</v>
      </c>
      <c r="BH23" s="23">
        <f>I23*AO23</f>
        <v>0</v>
      </c>
      <c r="BI23" s="23">
        <f>I23*AP23</f>
        <v>0</v>
      </c>
      <c r="BJ23" s="23">
        <f>I23*J23</f>
        <v>0</v>
      </c>
      <c r="BK23" s="23" t="s">
        <v>166</v>
      </c>
      <c r="BL23" s="33">
        <v>712</v>
      </c>
    </row>
    <row r="24" spans="1:14" ht="12.75">
      <c r="A24" s="5"/>
      <c r="B24" s="15" t="s">
        <v>39</v>
      </c>
      <c r="C24" s="107" t="s">
        <v>83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5"/>
    </row>
    <row r="25" spans="1:64" ht="12.75">
      <c r="A25" s="4" t="s">
        <v>15</v>
      </c>
      <c r="B25" s="14" t="s">
        <v>45</v>
      </c>
      <c r="C25" s="105" t="s">
        <v>86</v>
      </c>
      <c r="D25" s="106"/>
      <c r="E25" s="106"/>
      <c r="F25" s="106"/>
      <c r="G25" s="106"/>
      <c r="H25" s="14" t="s">
        <v>123</v>
      </c>
      <c r="I25" s="23">
        <v>20.7</v>
      </c>
      <c r="J25" s="23">
        <v>0</v>
      </c>
      <c r="K25" s="23">
        <f>I25*AO25</f>
        <v>0</v>
      </c>
      <c r="L25" s="23">
        <f>I25*AP25</f>
        <v>0</v>
      </c>
      <c r="M25" s="41">
        <f>I25*J25</f>
        <v>0</v>
      </c>
      <c r="N25" s="5"/>
      <c r="Z25" s="33">
        <f>IF(AQ25="5",BJ25,0)</f>
        <v>0</v>
      </c>
      <c r="AB25" s="33">
        <f>IF(AQ25="1",BH25,0)</f>
        <v>0</v>
      </c>
      <c r="AC25" s="33">
        <f>IF(AQ25="1",BI25,0)</f>
        <v>0</v>
      </c>
      <c r="AD25" s="33">
        <f>IF(AQ25="7",BH25,0)</f>
        <v>0</v>
      </c>
      <c r="AE25" s="33">
        <f>IF(AQ25="7",BI25,0)</f>
        <v>0</v>
      </c>
      <c r="AF25" s="33">
        <f>IF(AQ25="2",BH25,0)</f>
        <v>0</v>
      </c>
      <c r="AG25" s="33">
        <f>IF(AQ25="2",BI25,0)</f>
        <v>0</v>
      </c>
      <c r="AH25" s="33">
        <f>IF(AQ25="0",BJ25,0)</f>
        <v>0</v>
      </c>
      <c r="AI25" s="32"/>
      <c r="AJ25" s="23">
        <f>IF(AN25=0,M25,0)</f>
        <v>0</v>
      </c>
      <c r="AK25" s="23">
        <f>IF(AN25=15,M25,0)</f>
        <v>0</v>
      </c>
      <c r="AL25" s="23">
        <f>IF(AN25=21,M25,0)</f>
        <v>0</v>
      </c>
      <c r="AN25" s="33">
        <v>0</v>
      </c>
      <c r="AO25" s="33">
        <f>J25*0.474928301886792</f>
        <v>0</v>
      </c>
      <c r="AP25" s="33">
        <f>J25*(1-0.474928301886792)</f>
        <v>0</v>
      </c>
      <c r="AQ25" s="34" t="s">
        <v>13</v>
      </c>
      <c r="AV25" s="33">
        <f>AW25+AX25</f>
        <v>0</v>
      </c>
      <c r="AW25" s="33">
        <f>I25*AO25</f>
        <v>0</v>
      </c>
      <c r="AX25" s="33">
        <f>I25*AP25</f>
        <v>0</v>
      </c>
      <c r="AY25" s="36" t="s">
        <v>146</v>
      </c>
      <c r="AZ25" s="36" t="s">
        <v>156</v>
      </c>
      <c r="BA25" s="32" t="s">
        <v>161</v>
      </c>
      <c r="BC25" s="33">
        <f>AW25+AX25</f>
        <v>0</v>
      </c>
      <c r="BD25" s="33">
        <f>J25/(100-BE25)*100</f>
        <v>0</v>
      </c>
      <c r="BE25" s="33">
        <v>0</v>
      </c>
      <c r="BF25" s="33">
        <f>25</f>
        <v>25</v>
      </c>
      <c r="BH25" s="23">
        <f>I25*AO25</f>
        <v>0</v>
      </c>
      <c r="BI25" s="23">
        <f>I25*AP25</f>
        <v>0</v>
      </c>
      <c r="BJ25" s="23">
        <f>I25*J25</f>
        <v>0</v>
      </c>
      <c r="BK25" s="23" t="s">
        <v>166</v>
      </c>
      <c r="BL25" s="33">
        <v>712</v>
      </c>
    </row>
    <row r="26" spans="1:14" ht="12.75">
      <c r="A26" s="5"/>
      <c r="B26" s="15" t="s">
        <v>39</v>
      </c>
      <c r="C26" s="107" t="s">
        <v>87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9"/>
      <c r="N26" s="5"/>
    </row>
    <row r="27" spans="1:47" ht="12.75">
      <c r="A27" s="6"/>
      <c r="B27" s="16" t="s">
        <v>46</v>
      </c>
      <c r="C27" s="110" t="s">
        <v>88</v>
      </c>
      <c r="D27" s="111"/>
      <c r="E27" s="111"/>
      <c r="F27" s="111"/>
      <c r="G27" s="111"/>
      <c r="H27" s="21" t="s">
        <v>6</v>
      </c>
      <c r="I27" s="21" t="s">
        <v>6</v>
      </c>
      <c r="J27" s="21" t="s">
        <v>6</v>
      </c>
      <c r="K27" s="39">
        <f>SUM(K28:K28)</f>
        <v>0</v>
      </c>
      <c r="L27" s="39">
        <f>SUM(L28:L28)</f>
        <v>0</v>
      </c>
      <c r="M27" s="42">
        <f>SUM(M28:M28)</f>
        <v>0</v>
      </c>
      <c r="N27" s="5"/>
      <c r="AI27" s="32"/>
      <c r="AS27" s="39">
        <f>SUM(AJ28:AJ28)</f>
        <v>0</v>
      </c>
      <c r="AT27" s="39">
        <f>SUM(AK28:AK28)</f>
        <v>0</v>
      </c>
      <c r="AU27" s="39">
        <f>SUM(AL28:AL28)</f>
        <v>0</v>
      </c>
    </row>
    <row r="28" spans="1:64" ht="12.75">
      <c r="A28" s="4" t="s">
        <v>16</v>
      </c>
      <c r="B28" s="14" t="s">
        <v>47</v>
      </c>
      <c r="C28" s="105" t="s">
        <v>89</v>
      </c>
      <c r="D28" s="106"/>
      <c r="E28" s="106"/>
      <c r="F28" s="106"/>
      <c r="G28" s="106"/>
      <c r="H28" s="14" t="s">
        <v>125</v>
      </c>
      <c r="I28" s="23">
        <v>1</v>
      </c>
      <c r="J28" s="23">
        <v>0</v>
      </c>
      <c r="K28" s="23">
        <f>I28*AO28</f>
        <v>0</v>
      </c>
      <c r="L28" s="23">
        <f>I28*AP28</f>
        <v>0</v>
      </c>
      <c r="M28" s="41">
        <f>I28*J28</f>
        <v>0</v>
      </c>
      <c r="N28" s="5"/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32"/>
      <c r="AJ28" s="23">
        <f>IF(AN28=0,M28,0)</f>
        <v>0</v>
      </c>
      <c r="AK28" s="23">
        <f>IF(AN28=15,M28,0)</f>
        <v>0</v>
      </c>
      <c r="AL28" s="23">
        <f>IF(AN28=21,M28,0)</f>
        <v>0</v>
      </c>
      <c r="AN28" s="33">
        <v>0</v>
      </c>
      <c r="AO28" s="33">
        <f>J28*0.614582417904327</f>
        <v>0</v>
      </c>
      <c r="AP28" s="33">
        <f>J28*(1-0.614582417904327)</f>
        <v>0</v>
      </c>
      <c r="AQ28" s="34" t="s">
        <v>13</v>
      </c>
      <c r="AV28" s="33">
        <f>AW28+AX28</f>
        <v>0</v>
      </c>
      <c r="AW28" s="33">
        <f>I28*AO28</f>
        <v>0</v>
      </c>
      <c r="AX28" s="33">
        <f>I28*AP28</f>
        <v>0</v>
      </c>
      <c r="AY28" s="36" t="s">
        <v>147</v>
      </c>
      <c r="AZ28" s="36" t="s">
        <v>147</v>
      </c>
      <c r="BA28" s="32" t="s">
        <v>161</v>
      </c>
      <c r="BC28" s="33">
        <f>AW28+AX28</f>
        <v>0</v>
      </c>
      <c r="BD28" s="33">
        <f>J28/(100-BE28)*100</f>
        <v>0</v>
      </c>
      <c r="BE28" s="33">
        <v>0</v>
      </c>
      <c r="BF28" s="33">
        <f>28</f>
        <v>28</v>
      </c>
      <c r="BH28" s="23">
        <f>I28*AO28</f>
        <v>0</v>
      </c>
      <c r="BI28" s="23">
        <f>I28*AP28</f>
        <v>0</v>
      </c>
      <c r="BJ28" s="23">
        <f>I28*J28</f>
        <v>0</v>
      </c>
      <c r="BK28" s="23" t="s">
        <v>166</v>
      </c>
      <c r="BL28" s="33">
        <v>74</v>
      </c>
    </row>
    <row r="29" spans="1:14" ht="25.5" customHeight="1">
      <c r="A29" s="5"/>
      <c r="B29" s="15" t="s">
        <v>39</v>
      </c>
      <c r="C29" s="107" t="s">
        <v>90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5"/>
    </row>
    <row r="30" spans="1:47" ht="12.75">
      <c r="A30" s="6"/>
      <c r="B30" s="16" t="s">
        <v>48</v>
      </c>
      <c r="C30" s="110" t="s">
        <v>91</v>
      </c>
      <c r="D30" s="111"/>
      <c r="E30" s="111"/>
      <c r="F30" s="111"/>
      <c r="G30" s="111"/>
      <c r="H30" s="21" t="s">
        <v>6</v>
      </c>
      <c r="I30" s="21" t="s">
        <v>6</v>
      </c>
      <c r="J30" s="21" t="s">
        <v>6</v>
      </c>
      <c r="K30" s="39">
        <f>SUM(K31:K31)</f>
        <v>0</v>
      </c>
      <c r="L30" s="39">
        <f>SUM(L31:L31)</f>
        <v>0</v>
      </c>
      <c r="M30" s="42">
        <f>SUM(M31:M31)</f>
        <v>0</v>
      </c>
      <c r="N30" s="5"/>
      <c r="AI30" s="32"/>
      <c r="AS30" s="39">
        <f>SUM(AJ31:AJ31)</f>
        <v>0</v>
      </c>
      <c r="AT30" s="39">
        <f>SUM(AK31:AK31)</f>
        <v>0</v>
      </c>
      <c r="AU30" s="39">
        <f>SUM(AL31:AL31)</f>
        <v>0</v>
      </c>
    </row>
    <row r="31" spans="1:64" ht="12.75">
      <c r="A31" s="4" t="s">
        <v>17</v>
      </c>
      <c r="B31" s="14" t="s">
        <v>49</v>
      </c>
      <c r="C31" s="105" t="s">
        <v>92</v>
      </c>
      <c r="D31" s="106"/>
      <c r="E31" s="106"/>
      <c r="F31" s="106"/>
      <c r="G31" s="106"/>
      <c r="H31" s="14" t="s">
        <v>124</v>
      </c>
      <c r="I31" s="23">
        <v>58</v>
      </c>
      <c r="J31" s="23">
        <v>0</v>
      </c>
      <c r="K31" s="23">
        <f>I31*AO31</f>
        <v>0</v>
      </c>
      <c r="L31" s="23">
        <f>I31*AP31</f>
        <v>0</v>
      </c>
      <c r="M31" s="41">
        <f>I31*J31</f>
        <v>0</v>
      </c>
      <c r="N31" s="5"/>
      <c r="Z31" s="33">
        <f>IF(AQ31="5",BJ31,0)</f>
        <v>0</v>
      </c>
      <c r="AB31" s="33">
        <f>IF(AQ31="1",BH31,0)</f>
        <v>0</v>
      </c>
      <c r="AC31" s="33">
        <f>IF(AQ31="1",BI31,0)</f>
        <v>0</v>
      </c>
      <c r="AD31" s="33">
        <f>IF(AQ31="7",BH31,0)</f>
        <v>0</v>
      </c>
      <c r="AE31" s="33">
        <f>IF(AQ31="7",BI31,0)</f>
        <v>0</v>
      </c>
      <c r="AF31" s="33">
        <f>IF(AQ31="2",BH31,0)</f>
        <v>0</v>
      </c>
      <c r="AG31" s="33">
        <f>IF(AQ31="2",BI31,0)</f>
        <v>0</v>
      </c>
      <c r="AH31" s="33">
        <f>IF(AQ31="0",BJ31,0)</f>
        <v>0</v>
      </c>
      <c r="AI31" s="32"/>
      <c r="AJ31" s="23">
        <f>IF(AN31=0,M31,0)</f>
        <v>0</v>
      </c>
      <c r="AK31" s="23">
        <f>IF(AN31=15,M31,0)</f>
        <v>0</v>
      </c>
      <c r="AL31" s="23">
        <f>IF(AN31=21,M31,0)</f>
        <v>0</v>
      </c>
      <c r="AN31" s="33">
        <v>0</v>
      </c>
      <c r="AO31" s="33">
        <f>J31*0.44987146529563</f>
        <v>0</v>
      </c>
      <c r="AP31" s="33">
        <f>J31*(1-0.44987146529563)</f>
        <v>0</v>
      </c>
      <c r="AQ31" s="34" t="s">
        <v>13</v>
      </c>
      <c r="AV31" s="33">
        <f>AW31+AX31</f>
        <v>0</v>
      </c>
      <c r="AW31" s="33">
        <f>I31*AO31</f>
        <v>0</v>
      </c>
      <c r="AX31" s="33">
        <f>I31*AP31</f>
        <v>0</v>
      </c>
      <c r="AY31" s="36" t="s">
        <v>148</v>
      </c>
      <c r="AZ31" s="36" t="s">
        <v>157</v>
      </c>
      <c r="BA31" s="32" t="s">
        <v>161</v>
      </c>
      <c r="BC31" s="33">
        <f>AW31+AX31</f>
        <v>0</v>
      </c>
      <c r="BD31" s="33">
        <f>J31/(100-BE31)*100</f>
        <v>0</v>
      </c>
      <c r="BE31" s="33">
        <v>0</v>
      </c>
      <c r="BF31" s="33">
        <f>31</f>
        <v>31</v>
      </c>
      <c r="BH31" s="23">
        <f>I31*AO31</f>
        <v>0</v>
      </c>
      <c r="BI31" s="23">
        <f>I31*AP31</f>
        <v>0</v>
      </c>
      <c r="BJ31" s="23">
        <f>I31*J31</f>
        <v>0</v>
      </c>
      <c r="BK31" s="23" t="s">
        <v>166</v>
      </c>
      <c r="BL31" s="33">
        <v>762</v>
      </c>
    </row>
    <row r="32" spans="1:47" ht="12.75">
      <c r="A32" s="6"/>
      <c r="B32" s="16" t="s">
        <v>50</v>
      </c>
      <c r="C32" s="110" t="s">
        <v>93</v>
      </c>
      <c r="D32" s="111"/>
      <c r="E32" s="111"/>
      <c r="F32" s="111"/>
      <c r="G32" s="111"/>
      <c r="H32" s="21" t="s">
        <v>6</v>
      </c>
      <c r="I32" s="21" t="s">
        <v>6</v>
      </c>
      <c r="J32" s="21" t="s">
        <v>6</v>
      </c>
      <c r="K32" s="39">
        <f>SUM(K33:K36)</f>
        <v>0</v>
      </c>
      <c r="L32" s="39">
        <f>SUM(L33:L36)</f>
        <v>0</v>
      </c>
      <c r="M32" s="42">
        <f>SUM(M33:M36)</f>
        <v>0</v>
      </c>
      <c r="N32" s="5"/>
      <c r="AI32" s="32"/>
      <c r="AS32" s="39">
        <f>SUM(AJ33:AJ36)</f>
        <v>0</v>
      </c>
      <c r="AT32" s="39">
        <f>SUM(AK33:AK36)</f>
        <v>0</v>
      </c>
      <c r="AU32" s="39">
        <f>SUM(AL33:AL36)</f>
        <v>0</v>
      </c>
    </row>
    <row r="33" spans="1:64" ht="12.75">
      <c r="A33" s="4" t="s">
        <v>18</v>
      </c>
      <c r="B33" s="14" t="s">
        <v>51</v>
      </c>
      <c r="C33" s="105" t="s">
        <v>94</v>
      </c>
      <c r="D33" s="106"/>
      <c r="E33" s="106"/>
      <c r="F33" s="106"/>
      <c r="G33" s="106"/>
      <c r="H33" s="14" t="s">
        <v>124</v>
      </c>
      <c r="I33" s="23">
        <v>1</v>
      </c>
      <c r="J33" s="23">
        <v>0</v>
      </c>
      <c r="K33" s="23">
        <f>I33*AO33</f>
        <v>0</v>
      </c>
      <c r="L33" s="23">
        <f>I33*AP33</f>
        <v>0</v>
      </c>
      <c r="M33" s="41">
        <f>I33*J33</f>
        <v>0</v>
      </c>
      <c r="N33" s="5"/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32"/>
      <c r="AJ33" s="23">
        <f>IF(AN33=0,M33,0)</f>
        <v>0</v>
      </c>
      <c r="AK33" s="23">
        <f>IF(AN33=15,M33,0)</f>
        <v>0</v>
      </c>
      <c r="AL33" s="23">
        <f>IF(AN33=21,M33,0)</f>
        <v>0</v>
      </c>
      <c r="AN33" s="33">
        <v>0</v>
      </c>
      <c r="AO33" s="33">
        <f>J33*0</f>
        <v>0</v>
      </c>
      <c r="AP33" s="33">
        <f>J33*(1-0)</f>
        <v>0</v>
      </c>
      <c r="AQ33" s="34" t="s">
        <v>13</v>
      </c>
      <c r="AV33" s="33">
        <f>AW33+AX33</f>
        <v>0</v>
      </c>
      <c r="AW33" s="33">
        <f>I33*AO33</f>
        <v>0</v>
      </c>
      <c r="AX33" s="33">
        <f>I33*AP33</f>
        <v>0</v>
      </c>
      <c r="AY33" s="36" t="s">
        <v>149</v>
      </c>
      <c r="AZ33" s="36" t="s">
        <v>157</v>
      </c>
      <c r="BA33" s="32" t="s">
        <v>161</v>
      </c>
      <c r="BC33" s="33">
        <f>AW33+AX33</f>
        <v>0</v>
      </c>
      <c r="BD33" s="33">
        <f>J33/(100-BE33)*100</f>
        <v>0</v>
      </c>
      <c r="BE33" s="33">
        <v>0</v>
      </c>
      <c r="BF33" s="33">
        <f>33</f>
        <v>33</v>
      </c>
      <c r="BH33" s="23">
        <f>I33*AO33</f>
        <v>0</v>
      </c>
      <c r="BI33" s="23">
        <f>I33*AP33</f>
        <v>0</v>
      </c>
      <c r="BJ33" s="23">
        <f>I33*J33</f>
        <v>0</v>
      </c>
      <c r="BK33" s="23" t="s">
        <v>166</v>
      </c>
      <c r="BL33" s="33">
        <v>764</v>
      </c>
    </row>
    <row r="34" spans="1:64" ht="12.75">
      <c r="A34" s="4" t="s">
        <v>19</v>
      </c>
      <c r="B34" s="14" t="s">
        <v>52</v>
      </c>
      <c r="C34" s="105" t="s">
        <v>95</v>
      </c>
      <c r="D34" s="106"/>
      <c r="E34" s="106"/>
      <c r="F34" s="106"/>
      <c r="G34" s="106"/>
      <c r="H34" s="14" t="s">
        <v>124</v>
      </c>
      <c r="I34" s="23">
        <v>58</v>
      </c>
      <c r="J34" s="23">
        <v>0</v>
      </c>
      <c r="K34" s="23">
        <f>I34*AO34</f>
        <v>0</v>
      </c>
      <c r="L34" s="23">
        <f>I34*AP34</f>
        <v>0</v>
      </c>
      <c r="M34" s="41">
        <f>I34*J34</f>
        <v>0</v>
      </c>
      <c r="N34" s="5"/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32"/>
      <c r="AJ34" s="23">
        <f>IF(AN34=0,M34,0)</f>
        <v>0</v>
      </c>
      <c r="AK34" s="23">
        <f>IF(AN34=15,M34,0)</f>
        <v>0</v>
      </c>
      <c r="AL34" s="23">
        <f>IF(AN34=21,M34,0)</f>
        <v>0</v>
      </c>
      <c r="AN34" s="33">
        <v>0</v>
      </c>
      <c r="AO34" s="33">
        <f>J34*0.550751156605979</f>
        <v>0</v>
      </c>
      <c r="AP34" s="33">
        <f>J34*(1-0.550751156605979)</f>
        <v>0</v>
      </c>
      <c r="AQ34" s="34" t="s">
        <v>13</v>
      </c>
      <c r="AV34" s="33">
        <f>AW34+AX34</f>
        <v>0</v>
      </c>
      <c r="AW34" s="33">
        <f>I34*AO34</f>
        <v>0</v>
      </c>
      <c r="AX34" s="33">
        <f>I34*AP34</f>
        <v>0</v>
      </c>
      <c r="AY34" s="36" t="s">
        <v>149</v>
      </c>
      <c r="AZ34" s="36" t="s">
        <v>157</v>
      </c>
      <c r="BA34" s="32" t="s">
        <v>161</v>
      </c>
      <c r="BC34" s="33">
        <f>AW34+AX34</f>
        <v>0</v>
      </c>
      <c r="BD34" s="33">
        <f>J34/(100-BE34)*100</f>
        <v>0</v>
      </c>
      <c r="BE34" s="33">
        <v>0</v>
      </c>
      <c r="BF34" s="33">
        <f>34</f>
        <v>34</v>
      </c>
      <c r="BH34" s="23">
        <f>I34*AO34</f>
        <v>0</v>
      </c>
      <c r="BI34" s="23">
        <f>I34*AP34</f>
        <v>0</v>
      </c>
      <c r="BJ34" s="23">
        <f>I34*J34</f>
        <v>0</v>
      </c>
      <c r="BK34" s="23" t="s">
        <v>166</v>
      </c>
      <c r="BL34" s="33">
        <v>764</v>
      </c>
    </row>
    <row r="35" spans="1:64" ht="12.75">
      <c r="A35" s="4" t="s">
        <v>20</v>
      </c>
      <c r="B35" s="14" t="s">
        <v>53</v>
      </c>
      <c r="C35" s="105" t="s">
        <v>96</v>
      </c>
      <c r="D35" s="106"/>
      <c r="E35" s="106"/>
      <c r="F35" s="106"/>
      <c r="G35" s="106"/>
      <c r="H35" s="14" t="s">
        <v>124</v>
      </c>
      <c r="I35" s="23">
        <v>58</v>
      </c>
      <c r="J35" s="23">
        <v>0</v>
      </c>
      <c r="K35" s="23">
        <f>I35*AO35</f>
        <v>0</v>
      </c>
      <c r="L35" s="23">
        <f>I35*AP35</f>
        <v>0</v>
      </c>
      <c r="M35" s="41">
        <f>I35*J35</f>
        <v>0</v>
      </c>
      <c r="N35" s="5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32"/>
      <c r="AJ35" s="23">
        <f>IF(AN35=0,M35,0)</f>
        <v>0</v>
      </c>
      <c r="AK35" s="23">
        <f>IF(AN35=15,M35,0)</f>
        <v>0</v>
      </c>
      <c r="AL35" s="23">
        <f>IF(AN35=21,M35,0)</f>
        <v>0</v>
      </c>
      <c r="AN35" s="33">
        <v>0</v>
      </c>
      <c r="AO35" s="33">
        <f>J35*0.492404314686207</f>
        <v>0</v>
      </c>
      <c r="AP35" s="33">
        <f>J35*(1-0.492404314686207)</f>
        <v>0</v>
      </c>
      <c r="AQ35" s="34" t="s">
        <v>13</v>
      </c>
      <c r="AV35" s="33">
        <f>AW35+AX35</f>
        <v>0</v>
      </c>
      <c r="AW35" s="33">
        <f>I35*AO35</f>
        <v>0</v>
      </c>
      <c r="AX35" s="33">
        <f>I35*AP35</f>
        <v>0</v>
      </c>
      <c r="AY35" s="36" t="s">
        <v>149</v>
      </c>
      <c r="AZ35" s="36" t="s">
        <v>157</v>
      </c>
      <c r="BA35" s="32" t="s">
        <v>161</v>
      </c>
      <c r="BC35" s="33">
        <f>AW35+AX35</f>
        <v>0</v>
      </c>
      <c r="BD35" s="33">
        <f>J35/(100-BE35)*100</f>
        <v>0</v>
      </c>
      <c r="BE35" s="33">
        <v>0</v>
      </c>
      <c r="BF35" s="33">
        <f>35</f>
        <v>35</v>
      </c>
      <c r="BH35" s="23">
        <f>I35*AO35</f>
        <v>0</v>
      </c>
      <c r="BI35" s="23">
        <f>I35*AP35</f>
        <v>0</v>
      </c>
      <c r="BJ35" s="23">
        <f>I35*J35</f>
        <v>0</v>
      </c>
      <c r="BK35" s="23" t="s">
        <v>166</v>
      </c>
      <c r="BL35" s="33">
        <v>764</v>
      </c>
    </row>
    <row r="36" spans="1:64" ht="12.75">
      <c r="A36" s="4" t="s">
        <v>21</v>
      </c>
      <c r="B36" s="14" t="s">
        <v>54</v>
      </c>
      <c r="C36" s="105" t="s">
        <v>97</v>
      </c>
      <c r="D36" s="106"/>
      <c r="E36" s="106"/>
      <c r="F36" s="106"/>
      <c r="G36" s="106"/>
      <c r="H36" s="14" t="s">
        <v>124</v>
      </c>
      <c r="I36" s="23">
        <v>28</v>
      </c>
      <c r="J36" s="23">
        <v>0</v>
      </c>
      <c r="K36" s="23">
        <f>I36*AO36</f>
        <v>0</v>
      </c>
      <c r="L36" s="23">
        <f>I36*AP36</f>
        <v>0</v>
      </c>
      <c r="M36" s="41">
        <f>I36*J36</f>
        <v>0</v>
      </c>
      <c r="N36" s="5"/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32"/>
      <c r="AJ36" s="23">
        <f>IF(AN36=0,M36,0)</f>
        <v>0</v>
      </c>
      <c r="AK36" s="23">
        <f>IF(AN36=15,M36,0)</f>
        <v>0</v>
      </c>
      <c r="AL36" s="23">
        <f>IF(AN36=21,M36,0)</f>
        <v>0</v>
      </c>
      <c r="AN36" s="33">
        <v>0</v>
      </c>
      <c r="AO36" s="33">
        <f>J36*0.470202119769811</f>
        <v>0</v>
      </c>
      <c r="AP36" s="33">
        <f>J36*(1-0.470202119769811)</f>
        <v>0</v>
      </c>
      <c r="AQ36" s="34" t="s">
        <v>13</v>
      </c>
      <c r="AV36" s="33">
        <f>AW36+AX36</f>
        <v>0</v>
      </c>
      <c r="AW36" s="33">
        <f>I36*AO36</f>
        <v>0</v>
      </c>
      <c r="AX36" s="33">
        <f>I36*AP36</f>
        <v>0</v>
      </c>
      <c r="AY36" s="36" t="s">
        <v>149</v>
      </c>
      <c r="AZ36" s="36" t="s">
        <v>157</v>
      </c>
      <c r="BA36" s="32" t="s">
        <v>161</v>
      </c>
      <c r="BC36" s="33">
        <f>AW36+AX36</f>
        <v>0</v>
      </c>
      <c r="BD36" s="33">
        <f>J36/(100-BE36)*100</f>
        <v>0</v>
      </c>
      <c r="BE36" s="33">
        <v>0</v>
      </c>
      <c r="BF36" s="33">
        <f>36</f>
        <v>36</v>
      </c>
      <c r="BH36" s="23">
        <f>I36*AO36</f>
        <v>0</v>
      </c>
      <c r="BI36" s="23">
        <f>I36*AP36</f>
        <v>0</v>
      </c>
      <c r="BJ36" s="23">
        <f>I36*J36</f>
        <v>0</v>
      </c>
      <c r="BK36" s="23" t="s">
        <v>166</v>
      </c>
      <c r="BL36" s="33">
        <v>764</v>
      </c>
    </row>
    <row r="37" spans="1:47" ht="12.75">
      <c r="A37" s="6"/>
      <c r="B37" s="16" t="s">
        <v>55</v>
      </c>
      <c r="C37" s="110" t="s">
        <v>98</v>
      </c>
      <c r="D37" s="111"/>
      <c r="E37" s="111"/>
      <c r="F37" s="111"/>
      <c r="G37" s="111"/>
      <c r="H37" s="21" t="s">
        <v>6</v>
      </c>
      <c r="I37" s="21" t="s">
        <v>6</v>
      </c>
      <c r="J37" s="21" t="s">
        <v>6</v>
      </c>
      <c r="K37" s="39">
        <f>SUM(K38:K38)</f>
        <v>0</v>
      </c>
      <c r="L37" s="39">
        <f>SUM(L38:L38)</f>
        <v>0</v>
      </c>
      <c r="M37" s="42">
        <f>SUM(M38:M38)</f>
        <v>0</v>
      </c>
      <c r="N37" s="5"/>
      <c r="AI37" s="32"/>
      <c r="AS37" s="39">
        <f>SUM(AJ38:AJ38)</f>
        <v>0</v>
      </c>
      <c r="AT37" s="39">
        <f>SUM(AK38:AK38)</f>
        <v>0</v>
      </c>
      <c r="AU37" s="39">
        <f>SUM(AL38:AL38)</f>
        <v>0</v>
      </c>
    </row>
    <row r="38" spans="1:64" ht="12.75">
      <c r="A38" s="4" t="s">
        <v>22</v>
      </c>
      <c r="B38" s="14" t="s">
        <v>56</v>
      </c>
      <c r="C38" s="105" t="s">
        <v>99</v>
      </c>
      <c r="D38" s="106"/>
      <c r="E38" s="106"/>
      <c r="F38" s="106"/>
      <c r="G38" s="106"/>
      <c r="H38" s="14" t="s">
        <v>123</v>
      </c>
      <c r="I38" s="23">
        <v>1</v>
      </c>
      <c r="J38" s="23">
        <v>0</v>
      </c>
      <c r="K38" s="23">
        <f>I38*AO38</f>
        <v>0</v>
      </c>
      <c r="L38" s="23">
        <f>I38*AP38</f>
        <v>0</v>
      </c>
      <c r="M38" s="41">
        <f>I38*J38</f>
        <v>0</v>
      </c>
      <c r="N38" s="5"/>
      <c r="Z38" s="33">
        <f>IF(AQ38="5",BJ38,0)</f>
        <v>0</v>
      </c>
      <c r="AB38" s="33">
        <f>IF(AQ38="1",BH38,0)</f>
        <v>0</v>
      </c>
      <c r="AC38" s="33">
        <f>IF(AQ38="1",BI38,0)</f>
        <v>0</v>
      </c>
      <c r="AD38" s="33">
        <f>IF(AQ38="7",BH38,0)</f>
        <v>0</v>
      </c>
      <c r="AE38" s="33">
        <f>IF(AQ38="7",BI38,0)</f>
        <v>0</v>
      </c>
      <c r="AF38" s="33">
        <f>IF(AQ38="2",BH38,0)</f>
        <v>0</v>
      </c>
      <c r="AG38" s="33">
        <f>IF(AQ38="2",BI38,0)</f>
        <v>0</v>
      </c>
      <c r="AH38" s="33">
        <f>IF(AQ38="0",BJ38,0)</f>
        <v>0</v>
      </c>
      <c r="AI38" s="32"/>
      <c r="AJ38" s="23">
        <f>IF(AN38=0,M38,0)</f>
        <v>0</v>
      </c>
      <c r="AK38" s="23">
        <f>IF(AN38=15,M38,0)</f>
        <v>0</v>
      </c>
      <c r="AL38" s="23">
        <f>IF(AN38=21,M38,0)</f>
        <v>0</v>
      </c>
      <c r="AN38" s="33">
        <v>0</v>
      </c>
      <c r="AO38" s="33">
        <f>J38*0.294486126191461</f>
        <v>0</v>
      </c>
      <c r="AP38" s="33">
        <f>J38*(1-0.294486126191461)</f>
        <v>0</v>
      </c>
      <c r="AQ38" s="34" t="s">
        <v>13</v>
      </c>
      <c r="AV38" s="33">
        <f>AW38+AX38</f>
        <v>0</v>
      </c>
      <c r="AW38" s="33">
        <f>I38*AO38</f>
        <v>0</v>
      </c>
      <c r="AX38" s="33">
        <f>I38*AP38</f>
        <v>0</v>
      </c>
      <c r="AY38" s="36" t="s">
        <v>150</v>
      </c>
      <c r="AZ38" s="36" t="s">
        <v>158</v>
      </c>
      <c r="BA38" s="32" t="s">
        <v>161</v>
      </c>
      <c r="BC38" s="33">
        <f>AW38+AX38</f>
        <v>0</v>
      </c>
      <c r="BD38" s="33">
        <f>J38/(100-BE38)*100</f>
        <v>0</v>
      </c>
      <c r="BE38" s="33">
        <v>0</v>
      </c>
      <c r="BF38" s="33">
        <f>38</f>
        <v>38</v>
      </c>
      <c r="BH38" s="23">
        <f>I38*AO38</f>
        <v>0</v>
      </c>
      <c r="BI38" s="23">
        <f>I38*AP38</f>
        <v>0</v>
      </c>
      <c r="BJ38" s="23">
        <f>I38*J38</f>
        <v>0</v>
      </c>
      <c r="BK38" s="23" t="s">
        <v>166</v>
      </c>
      <c r="BL38" s="33">
        <v>783</v>
      </c>
    </row>
    <row r="39" spans="1:47" ht="12.75">
      <c r="A39" s="6"/>
      <c r="B39" s="16" t="s">
        <v>57</v>
      </c>
      <c r="C39" s="110" t="s">
        <v>74</v>
      </c>
      <c r="D39" s="111"/>
      <c r="E39" s="111"/>
      <c r="F39" s="111"/>
      <c r="G39" s="111"/>
      <c r="H39" s="21" t="s">
        <v>6</v>
      </c>
      <c r="I39" s="21" t="s">
        <v>6</v>
      </c>
      <c r="J39" s="21" t="s">
        <v>6</v>
      </c>
      <c r="K39" s="39">
        <f>SUM(K40:K40)</f>
        <v>0</v>
      </c>
      <c r="L39" s="39">
        <f>SUM(L40:L40)</f>
        <v>0</v>
      </c>
      <c r="M39" s="42">
        <f>SUM(M40:M40)</f>
        <v>0</v>
      </c>
      <c r="N39" s="5"/>
      <c r="AI39" s="32"/>
      <c r="AS39" s="39">
        <f>SUM(AJ40:AJ40)</f>
        <v>0</v>
      </c>
      <c r="AT39" s="39">
        <f>SUM(AK40:AK40)</f>
        <v>0</v>
      </c>
      <c r="AU39" s="39">
        <f>SUM(AL40:AL40)</f>
        <v>0</v>
      </c>
    </row>
    <row r="40" spans="1:64" ht="12.75">
      <c r="A40" s="4" t="s">
        <v>23</v>
      </c>
      <c r="B40" s="14" t="s">
        <v>58</v>
      </c>
      <c r="C40" s="105" t="s">
        <v>100</v>
      </c>
      <c r="D40" s="106"/>
      <c r="E40" s="106"/>
      <c r="F40" s="106"/>
      <c r="G40" s="106"/>
      <c r="H40" s="14" t="s">
        <v>126</v>
      </c>
      <c r="I40" s="23">
        <v>2.7088</v>
      </c>
      <c r="J40" s="23">
        <v>0</v>
      </c>
      <c r="K40" s="23">
        <f>I40*AO40</f>
        <v>0</v>
      </c>
      <c r="L40" s="23">
        <f>I40*AP40</f>
        <v>0</v>
      </c>
      <c r="M40" s="41">
        <f>I40*J40</f>
        <v>0</v>
      </c>
      <c r="N40" s="5"/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32"/>
      <c r="AJ40" s="23">
        <f>IF(AN40=0,M40,0)</f>
        <v>0</v>
      </c>
      <c r="AK40" s="23">
        <f>IF(AN40=15,M40,0)</f>
        <v>0</v>
      </c>
      <c r="AL40" s="23">
        <f>IF(AN40=21,M40,0)</f>
        <v>0</v>
      </c>
      <c r="AN40" s="33">
        <v>0</v>
      </c>
      <c r="AO40" s="33">
        <f>J40*0</f>
        <v>0</v>
      </c>
      <c r="AP40" s="33">
        <f>J40*(1-0)</f>
        <v>0</v>
      </c>
      <c r="AQ40" s="34" t="s">
        <v>11</v>
      </c>
      <c r="AV40" s="33">
        <f>AW40+AX40</f>
        <v>0</v>
      </c>
      <c r="AW40" s="33">
        <f>I40*AO40</f>
        <v>0</v>
      </c>
      <c r="AX40" s="33">
        <f>I40*AP40</f>
        <v>0</v>
      </c>
      <c r="AY40" s="36" t="s">
        <v>151</v>
      </c>
      <c r="AZ40" s="36" t="s">
        <v>159</v>
      </c>
      <c r="BA40" s="32" t="s">
        <v>161</v>
      </c>
      <c r="BC40" s="33">
        <f>AW40+AX40</f>
        <v>0</v>
      </c>
      <c r="BD40" s="33">
        <f>J40/(100-BE40)*100</f>
        <v>0</v>
      </c>
      <c r="BE40" s="33">
        <v>0</v>
      </c>
      <c r="BF40" s="33">
        <f>40</f>
        <v>40</v>
      </c>
      <c r="BH40" s="23">
        <f>I40*AO40</f>
        <v>0</v>
      </c>
      <c r="BI40" s="23">
        <f>I40*AP40</f>
        <v>0</v>
      </c>
      <c r="BJ40" s="23">
        <f>I40*J40</f>
        <v>0</v>
      </c>
      <c r="BK40" s="23" t="s">
        <v>166</v>
      </c>
      <c r="BL40" s="33" t="s">
        <v>57</v>
      </c>
    </row>
    <row r="41" spans="1:47" ht="12.75">
      <c r="A41" s="6"/>
      <c r="B41" s="16" t="s">
        <v>59</v>
      </c>
      <c r="C41" s="110" t="s">
        <v>91</v>
      </c>
      <c r="D41" s="111"/>
      <c r="E41" s="111"/>
      <c r="F41" s="111"/>
      <c r="G41" s="111"/>
      <c r="H41" s="21" t="s">
        <v>6</v>
      </c>
      <c r="I41" s="21" t="s">
        <v>6</v>
      </c>
      <c r="J41" s="21" t="s">
        <v>6</v>
      </c>
      <c r="K41" s="39">
        <f>SUM(K42:K42)</f>
        <v>0</v>
      </c>
      <c r="L41" s="39">
        <f>SUM(L42:L42)</f>
        <v>0</v>
      </c>
      <c r="M41" s="42">
        <f>SUM(M42:M42)</f>
        <v>0</v>
      </c>
      <c r="N41" s="5"/>
      <c r="AI41" s="32"/>
      <c r="AS41" s="39">
        <f>SUM(AJ42:AJ42)</f>
        <v>0</v>
      </c>
      <c r="AT41" s="39">
        <f>SUM(AK42:AK42)</f>
        <v>0</v>
      </c>
      <c r="AU41" s="39">
        <f>SUM(AL42:AL42)</f>
        <v>0</v>
      </c>
    </row>
    <row r="42" spans="1:64" ht="12.75">
      <c r="A42" s="4" t="s">
        <v>24</v>
      </c>
      <c r="B42" s="14" t="s">
        <v>60</v>
      </c>
      <c r="C42" s="105" t="s">
        <v>101</v>
      </c>
      <c r="D42" s="106"/>
      <c r="E42" s="106"/>
      <c r="F42" s="106"/>
      <c r="G42" s="106"/>
      <c r="H42" s="14" t="s">
        <v>126</v>
      </c>
      <c r="I42" s="23">
        <v>0.232</v>
      </c>
      <c r="J42" s="23">
        <v>0</v>
      </c>
      <c r="K42" s="23">
        <f>I42*AO42</f>
        <v>0</v>
      </c>
      <c r="L42" s="23">
        <f>I42*AP42</f>
        <v>0</v>
      </c>
      <c r="M42" s="41">
        <f>I42*J42</f>
        <v>0</v>
      </c>
      <c r="N42" s="5"/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32"/>
      <c r="AJ42" s="23">
        <f>IF(AN42=0,M42,0)</f>
        <v>0</v>
      </c>
      <c r="AK42" s="23">
        <f>IF(AN42=15,M42,0)</f>
        <v>0</v>
      </c>
      <c r="AL42" s="23">
        <f>IF(AN42=21,M42,0)</f>
        <v>0</v>
      </c>
      <c r="AN42" s="33">
        <v>0</v>
      </c>
      <c r="AO42" s="33">
        <f>J42*0</f>
        <v>0</v>
      </c>
      <c r="AP42" s="33">
        <f>J42*(1-0)</f>
        <v>0</v>
      </c>
      <c r="AQ42" s="34" t="s">
        <v>11</v>
      </c>
      <c r="AV42" s="33">
        <f>AW42+AX42</f>
        <v>0</v>
      </c>
      <c r="AW42" s="33">
        <f>I42*AO42</f>
        <v>0</v>
      </c>
      <c r="AX42" s="33">
        <f>I42*AP42</f>
        <v>0</v>
      </c>
      <c r="AY42" s="36" t="s">
        <v>152</v>
      </c>
      <c r="AZ42" s="36" t="s">
        <v>159</v>
      </c>
      <c r="BA42" s="32" t="s">
        <v>161</v>
      </c>
      <c r="BC42" s="33">
        <f>AW42+AX42</f>
        <v>0</v>
      </c>
      <c r="BD42" s="33">
        <f>J42/(100-BE42)*100</f>
        <v>0</v>
      </c>
      <c r="BE42" s="33">
        <v>0</v>
      </c>
      <c r="BF42" s="33">
        <f>42</f>
        <v>42</v>
      </c>
      <c r="BH42" s="23">
        <f>I42*AO42</f>
        <v>0</v>
      </c>
      <c r="BI42" s="23">
        <f>I42*AP42</f>
        <v>0</v>
      </c>
      <c r="BJ42" s="23">
        <f>I42*J42</f>
        <v>0</v>
      </c>
      <c r="BK42" s="23" t="s">
        <v>166</v>
      </c>
      <c r="BL42" s="33" t="s">
        <v>59</v>
      </c>
    </row>
    <row r="43" spans="1:47" ht="12.75">
      <c r="A43" s="6"/>
      <c r="B43" s="16" t="s">
        <v>61</v>
      </c>
      <c r="C43" s="110" t="s">
        <v>93</v>
      </c>
      <c r="D43" s="111"/>
      <c r="E43" s="111"/>
      <c r="F43" s="111"/>
      <c r="G43" s="111"/>
      <c r="H43" s="21" t="s">
        <v>6</v>
      </c>
      <c r="I43" s="21" t="s">
        <v>6</v>
      </c>
      <c r="J43" s="21" t="s">
        <v>6</v>
      </c>
      <c r="K43" s="39">
        <f>SUM(K44:K44)</f>
        <v>0</v>
      </c>
      <c r="L43" s="39">
        <f>SUM(L44:L44)</f>
        <v>0</v>
      </c>
      <c r="M43" s="42">
        <f>SUM(M44:M44)</f>
        <v>0</v>
      </c>
      <c r="N43" s="5"/>
      <c r="AI43" s="32"/>
      <c r="AS43" s="39">
        <f>SUM(AJ44:AJ44)</f>
        <v>0</v>
      </c>
      <c r="AT43" s="39">
        <f>SUM(AK44:AK44)</f>
        <v>0</v>
      </c>
      <c r="AU43" s="39">
        <f>SUM(AL44:AL44)</f>
        <v>0</v>
      </c>
    </row>
    <row r="44" spans="1:64" ht="12.75">
      <c r="A44" s="4" t="s">
        <v>25</v>
      </c>
      <c r="B44" s="14" t="s">
        <v>62</v>
      </c>
      <c r="C44" s="105" t="s">
        <v>102</v>
      </c>
      <c r="D44" s="106"/>
      <c r="E44" s="106"/>
      <c r="F44" s="106"/>
      <c r="G44" s="106"/>
      <c r="H44" s="14" t="s">
        <v>126</v>
      </c>
      <c r="I44" s="23">
        <v>0.2934</v>
      </c>
      <c r="J44" s="23">
        <v>0</v>
      </c>
      <c r="K44" s="23">
        <f>I44*AO44</f>
        <v>0</v>
      </c>
      <c r="L44" s="23">
        <f>I44*AP44</f>
        <v>0</v>
      </c>
      <c r="M44" s="41">
        <f>I44*J44</f>
        <v>0</v>
      </c>
      <c r="N44" s="5"/>
      <c r="Z44" s="33">
        <f>IF(AQ44="5",BJ44,0)</f>
        <v>0</v>
      </c>
      <c r="AB44" s="33">
        <f>IF(AQ44="1",BH44,0)</f>
        <v>0</v>
      </c>
      <c r="AC44" s="33">
        <f>IF(AQ44="1",BI44,0)</f>
        <v>0</v>
      </c>
      <c r="AD44" s="33">
        <f>IF(AQ44="7",BH44,0)</f>
        <v>0</v>
      </c>
      <c r="AE44" s="33">
        <f>IF(AQ44="7",BI44,0)</f>
        <v>0</v>
      </c>
      <c r="AF44" s="33">
        <f>IF(AQ44="2",BH44,0)</f>
        <v>0</v>
      </c>
      <c r="AG44" s="33">
        <f>IF(AQ44="2",BI44,0)</f>
        <v>0</v>
      </c>
      <c r="AH44" s="33">
        <f>IF(AQ44="0",BJ44,0)</f>
        <v>0</v>
      </c>
      <c r="AI44" s="32"/>
      <c r="AJ44" s="23">
        <f>IF(AN44=0,M44,0)</f>
        <v>0</v>
      </c>
      <c r="AK44" s="23">
        <f>IF(AN44=15,M44,0)</f>
        <v>0</v>
      </c>
      <c r="AL44" s="23">
        <f>IF(AN44=21,M44,0)</f>
        <v>0</v>
      </c>
      <c r="AN44" s="33">
        <v>0</v>
      </c>
      <c r="AO44" s="33">
        <f>J44*0</f>
        <v>0</v>
      </c>
      <c r="AP44" s="33">
        <f>J44*(1-0)</f>
        <v>0</v>
      </c>
      <c r="AQ44" s="34" t="s">
        <v>11</v>
      </c>
      <c r="AV44" s="33">
        <f>AW44+AX44</f>
        <v>0</v>
      </c>
      <c r="AW44" s="33">
        <f>I44*AO44</f>
        <v>0</v>
      </c>
      <c r="AX44" s="33">
        <f>I44*AP44</f>
        <v>0</v>
      </c>
      <c r="AY44" s="36" t="s">
        <v>153</v>
      </c>
      <c r="AZ44" s="36" t="s">
        <v>159</v>
      </c>
      <c r="BA44" s="32" t="s">
        <v>161</v>
      </c>
      <c r="BC44" s="33">
        <f>AW44+AX44</f>
        <v>0</v>
      </c>
      <c r="BD44" s="33">
        <f>J44/(100-BE44)*100</f>
        <v>0</v>
      </c>
      <c r="BE44" s="33">
        <v>0</v>
      </c>
      <c r="BF44" s="33">
        <f>44</f>
        <v>44</v>
      </c>
      <c r="BH44" s="23">
        <f>I44*AO44</f>
        <v>0</v>
      </c>
      <c r="BI44" s="23">
        <f>I44*AP44</f>
        <v>0</v>
      </c>
      <c r="BJ44" s="23">
        <f>I44*J44</f>
        <v>0</v>
      </c>
      <c r="BK44" s="23" t="s">
        <v>166</v>
      </c>
      <c r="BL44" s="33" t="s">
        <v>61</v>
      </c>
    </row>
    <row r="45" spans="1:47" ht="12.75">
      <c r="A45" s="6"/>
      <c r="B45" s="16" t="s">
        <v>63</v>
      </c>
      <c r="C45" s="110" t="s">
        <v>103</v>
      </c>
      <c r="D45" s="111"/>
      <c r="E45" s="111"/>
      <c r="F45" s="111"/>
      <c r="G45" s="111"/>
      <c r="H45" s="21" t="s">
        <v>6</v>
      </c>
      <c r="I45" s="21" t="s">
        <v>6</v>
      </c>
      <c r="J45" s="21" t="s">
        <v>6</v>
      </c>
      <c r="K45" s="39">
        <f>SUM(K46:K49)</f>
        <v>0</v>
      </c>
      <c r="L45" s="39">
        <f>SUM(L46:L49)</f>
        <v>0</v>
      </c>
      <c r="M45" s="42">
        <f>SUM(M46:M49)</f>
        <v>0</v>
      </c>
      <c r="N45" s="5"/>
      <c r="AI45" s="32"/>
      <c r="AS45" s="39">
        <f>SUM(AJ46:AJ49)</f>
        <v>0</v>
      </c>
      <c r="AT45" s="39">
        <f>SUM(AK46:AK49)</f>
        <v>0</v>
      </c>
      <c r="AU45" s="39">
        <f>SUM(AL46:AL49)</f>
        <v>0</v>
      </c>
    </row>
    <row r="46" spans="1:64" ht="12.75">
      <c r="A46" s="4" t="s">
        <v>26</v>
      </c>
      <c r="B46" s="14" t="s">
        <v>64</v>
      </c>
      <c r="C46" s="105" t="s">
        <v>104</v>
      </c>
      <c r="D46" s="106"/>
      <c r="E46" s="106"/>
      <c r="F46" s="106"/>
      <c r="G46" s="106"/>
      <c r="H46" s="14" t="s">
        <v>125</v>
      </c>
      <c r="I46" s="23">
        <v>1</v>
      </c>
      <c r="J46" s="23">
        <v>0</v>
      </c>
      <c r="K46" s="23">
        <f>I46*AO46</f>
        <v>0</v>
      </c>
      <c r="L46" s="23">
        <f>I46*AP46</f>
        <v>0</v>
      </c>
      <c r="M46" s="41">
        <f>I46*J46</f>
        <v>0</v>
      </c>
      <c r="N46" s="5"/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32"/>
      <c r="AJ46" s="23">
        <f>IF(AN46=0,M46,0)</f>
        <v>0</v>
      </c>
      <c r="AK46" s="23">
        <f>IF(AN46=15,M46,0)</f>
        <v>0</v>
      </c>
      <c r="AL46" s="23">
        <f>IF(AN46=21,M46,0)</f>
        <v>0</v>
      </c>
      <c r="AN46" s="33">
        <v>0</v>
      </c>
      <c r="AO46" s="33">
        <f>J46*0</f>
        <v>0</v>
      </c>
      <c r="AP46" s="33">
        <f>J46*(1-0)</f>
        <v>0</v>
      </c>
      <c r="AQ46" s="34" t="s">
        <v>11</v>
      </c>
      <c r="AV46" s="33">
        <f>AW46+AX46</f>
        <v>0</v>
      </c>
      <c r="AW46" s="33">
        <f>I46*AO46</f>
        <v>0</v>
      </c>
      <c r="AX46" s="33">
        <f>I46*AP46</f>
        <v>0</v>
      </c>
      <c r="AY46" s="36" t="s">
        <v>154</v>
      </c>
      <c r="AZ46" s="36" t="s">
        <v>159</v>
      </c>
      <c r="BA46" s="32" t="s">
        <v>161</v>
      </c>
      <c r="BC46" s="33">
        <f>AW46+AX46</f>
        <v>0</v>
      </c>
      <c r="BD46" s="33">
        <f>J46/(100-BE46)*100</f>
        <v>0</v>
      </c>
      <c r="BE46" s="33">
        <v>0</v>
      </c>
      <c r="BF46" s="33">
        <f>46</f>
        <v>46</v>
      </c>
      <c r="BH46" s="23">
        <f>I46*AO46</f>
        <v>0</v>
      </c>
      <c r="BI46" s="23">
        <f>I46*AP46</f>
        <v>0</v>
      </c>
      <c r="BJ46" s="23">
        <f>I46*J46</f>
        <v>0</v>
      </c>
      <c r="BK46" s="23" t="s">
        <v>166</v>
      </c>
      <c r="BL46" s="33" t="s">
        <v>63</v>
      </c>
    </row>
    <row r="47" spans="1:64" ht="12.75">
      <c r="A47" s="4" t="s">
        <v>27</v>
      </c>
      <c r="B47" s="14" t="s">
        <v>65</v>
      </c>
      <c r="C47" s="105" t="s">
        <v>105</v>
      </c>
      <c r="D47" s="106"/>
      <c r="E47" s="106"/>
      <c r="F47" s="106"/>
      <c r="G47" s="106"/>
      <c r="H47" s="14" t="s">
        <v>122</v>
      </c>
      <c r="I47" s="23">
        <v>1</v>
      </c>
      <c r="J47" s="23">
        <v>0</v>
      </c>
      <c r="K47" s="23">
        <f>I47*AO47</f>
        <v>0</v>
      </c>
      <c r="L47" s="23">
        <f>I47*AP47</f>
        <v>0</v>
      </c>
      <c r="M47" s="41">
        <f>I47*J47</f>
        <v>0</v>
      </c>
      <c r="N47" s="5"/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32"/>
      <c r="AJ47" s="23">
        <f>IF(AN47=0,M47,0)</f>
        <v>0</v>
      </c>
      <c r="AK47" s="23">
        <f>IF(AN47=15,M47,0)</f>
        <v>0</v>
      </c>
      <c r="AL47" s="23">
        <f>IF(AN47=21,M47,0)</f>
        <v>0</v>
      </c>
      <c r="AN47" s="33">
        <v>0</v>
      </c>
      <c r="AO47" s="33">
        <f>J47*0</f>
        <v>0</v>
      </c>
      <c r="AP47" s="33">
        <f>J47*(1-0)</f>
        <v>0</v>
      </c>
      <c r="AQ47" s="34" t="s">
        <v>11</v>
      </c>
      <c r="AV47" s="33">
        <f>AW47+AX47</f>
        <v>0</v>
      </c>
      <c r="AW47" s="33">
        <f>I47*AO47</f>
        <v>0</v>
      </c>
      <c r="AX47" s="33">
        <f>I47*AP47</f>
        <v>0</v>
      </c>
      <c r="AY47" s="36" t="s">
        <v>154</v>
      </c>
      <c r="AZ47" s="36" t="s">
        <v>159</v>
      </c>
      <c r="BA47" s="32" t="s">
        <v>161</v>
      </c>
      <c r="BC47" s="33">
        <f>AW47+AX47</f>
        <v>0</v>
      </c>
      <c r="BD47" s="33">
        <f>J47/(100-BE47)*100</f>
        <v>0</v>
      </c>
      <c r="BE47" s="33">
        <v>0</v>
      </c>
      <c r="BF47" s="33">
        <f>47</f>
        <v>47</v>
      </c>
      <c r="BH47" s="23">
        <f>I47*AO47</f>
        <v>0</v>
      </c>
      <c r="BI47" s="23">
        <f>I47*AP47</f>
        <v>0</v>
      </c>
      <c r="BJ47" s="23">
        <f>I47*J47</f>
        <v>0</v>
      </c>
      <c r="BK47" s="23" t="s">
        <v>166</v>
      </c>
      <c r="BL47" s="33" t="s">
        <v>63</v>
      </c>
    </row>
    <row r="48" spans="1:14" ht="12.75">
      <c r="A48" s="5"/>
      <c r="B48" s="15" t="s">
        <v>39</v>
      </c>
      <c r="C48" s="107" t="s">
        <v>106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9"/>
      <c r="N48" s="5"/>
    </row>
    <row r="49" spans="1:64" ht="12.75">
      <c r="A49" s="4" t="s">
        <v>28</v>
      </c>
      <c r="B49" s="14" t="s">
        <v>66</v>
      </c>
      <c r="C49" s="105" t="s">
        <v>107</v>
      </c>
      <c r="D49" s="106"/>
      <c r="E49" s="106"/>
      <c r="F49" s="106"/>
      <c r="G49" s="106"/>
      <c r="H49" s="14" t="s">
        <v>125</v>
      </c>
      <c r="I49" s="23">
        <v>1</v>
      </c>
      <c r="J49" s="23">
        <v>0</v>
      </c>
      <c r="K49" s="23">
        <f>I49*AO49</f>
        <v>0</v>
      </c>
      <c r="L49" s="23">
        <f>I49*AP49</f>
        <v>0</v>
      </c>
      <c r="M49" s="41">
        <f>I49*J49</f>
        <v>0</v>
      </c>
      <c r="N49" s="5"/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32"/>
      <c r="AJ49" s="23">
        <f>IF(AN49=0,M49,0)</f>
        <v>0</v>
      </c>
      <c r="AK49" s="23">
        <f>IF(AN49=15,M49,0)</f>
        <v>0</v>
      </c>
      <c r="AL49" s="23">
        <f>IF(AN49=21,M49,0)</f>
        <v>0</v>
      </c>
      <c r="AN49" s="33">
        <v>0</v>
      </c>
      <c r="AO49" s="33">
        <f>J49*0</f>
        <v>0</v>
      </c>
      <c r="AP49" s="33">
        <f>J49*(1-0)</f>
        <v>0</v>
      </c>
      <c r="AQ49" s="34" t="s">
        <v>11</v>
      </c>
      <c r="AV49" s="33">
        <f>AW49+AX49</f>
        <v>0</v>
      </c>
      <c r="AW49" s="33">
        <f>I49*AO49</f>
        <v>0</v>
      </c>
      <c r="AX49" s="33">
        <f>I49*AP49</f>
        <v>0</v>
      </c>
      <c r="AY49" s="36" t="s">
        <v>154</v>
      </c>
      <c r="AZ49" s="36" t="s">
        <v>159</v>
      </c>
      <c r="BA49" s="32" t="s">
        <v>161</v>
      </c>
      <c r="BC49" s="33">
        <f>AW49+AX49</f>
        <v>0</v>
      </c>
      <c r="BD49" s="33">
        <f>J49/(100-BE49)*100</f>
        <v>0</v>
      </c>
      <c r="BE49" s="33">
        <v>0</v>
      </c>
      <c r="BF49" s="33">
        <f>49</f>
        <v>49</v>
      </c>
      <c r="BH49" s="23">
        <f>I49*AO49</f>
        <v>0</v>
      </c>
      <c r="BI49" s="23">
        <f>I49*AP49</f>
        <v>0</v>
      </c>
      <c r="BJ49" s="23">
        <f>I49*J49</f>
        <v>0</v>
      </c>
      <c r="BK49" s="23" t="s">
        <v>166</v>
      </c>
      <c r="BL49" s="33" t="s">
        <v>63</v>
      </c>
    </row>
    <row r="50" spans="1:47" ht="12.75">
      <c r="A50" s="6"/>
      <c r="B50" s="16"/>
      <c r="C50" s="110" t="s">
        <v>108</v>
      </c>
      <c r="D50" s="111"/>
      <c r="E50" s="111"/>
      <c r="F50" s="111"/>
      <c r="G50" s="111"/>
      <c r="H50" s="21" t="s">
        <v>6</v>
      </c>
      <c r="I50" s="21" t="s">
        <v>6</v>
      </c>
      <c r="J50" s="21" t="s">
        <v>6</v>
      </c>
      <c r="K50" s="39">
        <f>SUM(K51:K53)</f>
        <v>0</v>
      </c>
      <c r="L50" s="39">
        <f>SUM(L51:L53)</f>
        <v>0</v>
      </c>
      <c r="M50" s="42">
        <f>SUM(M51:M53)</f>
        <v>0</v>
      </c>
      <c r="N50" s="5"/>
      <c r="AI50" s="32"/>
      <c r="AS50" s="39">
        <f>SUM(AJ51:AJ53)</f>
        <v>0</v>
      </c>
      <c r="AT50" s="39">
        <f>SUM(AK51:AK53)</f>
        <v>0</v>
      </c>
      <c r="AU50" s="39">
        <f>SUM(AL51:AL53)</f>
        <v>0</v>
      </c>
    </row>
    <row r="51" spans="1:64" ht="12.75">
      <c r="A51" s="7" t="s">
        <v>29</v>
      </c>
      <c r="B51" s="17" t="s">
        <v>67</v>
      </c>
      <c r="C51" s="112" t="s">
        <v>109</v>
      </c>
      <c r="D51" s="113"/>
      <c r="E51" s="113"/>
      <c r="F51" s="113"/>
      <c r="G51" s="113"/>
      <c r="H51" s="17" t="s">
        <v>124</v>
      </c>
      <c r="I51" s="24">
        <v>86</v>
      </c>
      <c r="J51" s="24">
        <v>0</v>
      </c>
      <c r="K51" s="24">
        <f>I51*AO51</f>
        <v>0</v>
      </c>
      <c r="L51" s="24">
        <f>I51*AP51</f>
        <v>0</v>
      </c>
      <c r="M51" s="43">
        <f>I51*J51</f>
        <v>0</v>
      </c>
      <c r="N51" s="5"/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32"/>
      <c r="AJ51" s="24">
        <f>IF(AN51=0,M51,0)</f>
        <v>0</v>
      </c>
      <c r="AK51" s="24">
        <f>IF(AN51=15,M51,0)</f>
        <v>0</v>
      </c>
      <c r="AL51" s="24">
        <f>IF(AN51=21,M51,0)</f>
        <v>0</v>
      </c>
      <c r="AN51" s="33">
        <v>0</v>
      </c>
      <c r="AO51" s="33">
        <f>J51*1</f>
        <v>0</v>
      </c>
      <c r="AP51" s="33">
        <f>J51*(1-1)</f>
        <v>0</v>
      </c>
      <c r="AQ51" s="35" t="s">
        <v>145</v>
      </c>
      <c r="AV51" s="33">
        <f>AW51+AX51</f>
        <v>0</v>
      </c>
      <c r="AW51" s="33">
        <f>I51*AO51</f>
        <v>0</v>
      </c>
      <c r="AX51" s="33">
        <f>I51*AP51</f>
        <v>0</v>
      </c>
      <c r="AY51" s="36" t="s">
        <v>155</v>
      </c>
      <c r="AZ51" s="36" t="s">
        <v>160</v>
      </c>
      <c r="BA51" s="32" t="s">
        <v>161</v>
      </c>
      <c r="BC51" s="33">
        <f>AW51+AX51</f>
        <v>0</v>
      </c>
      <c r="BD51" s="33">
        <f>J51/(100-BE51)*100</f>
        <v>0</v>
      </c>
      <c r="BE51" s="33">
        <v>0</v>
      </c>
      <c r="BF51" s="33">
        <f>51</f>
        <v>51</v>
      </c>
      <c r="BH51" s="24">
        <f>I51*AO51</f>
        <v>0</v>
      </c>
      <c r="BI51" s="24">
        <f>I51*AP51</f>
        <v>0</v>
      </c>
      <c r="BJ51" s="24">
        <f>I51*J51</f>
        <v>0</v>
      </c>
      <c r="BK51" s="24" t="s">
        <v>167</v>
      </c>
      <c r="BL51" s="33"/>
    </row>
    <row r="52" spans="1:64" ht="12.75">
      <c r="A52" s="7" t="s">
        <v>30</v>
      </c>
      <c r="B52" s="17" t="s">
        <v>68</v>
      </c>
      <c r="C52" s="112" t="s">
        <v>110</v>
      </c>
      <c r="D52" s="113"/>
      <c r="E52" s="113"/>
      <c r="F52" s="113"/>
      <c r="G52" s="113"/>
      <c r="H52" s="17" t="s">
        <v>123</v>
      </c>
      <c r="I52" s="24">
        <v>320</v>
      </c>
      <c r="J52" s="24">
        <v>0</v>
      </c>
      <c r="K52" s="24">
        <f>I52*AO52</f>
        <v>0</v>
      </c>
      <c r="L52" s="24">
        <f>I52*AP52</f>
        <v>0</v>
      </c>
      <c r="M52" s="43">
        <f>I52*J52</f>
        <v>0</v>
      </c>
      <c r="N52" s="5"/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32"/>
      <c r="AJ52" s="24">
        <f>IF(AN52=0,M52,0)</f>
        <v>0</v>
      </c>
      <c r="AK52" s="24">
        <f>IF(AN52=15,M52,0)</f>
        <v>0</v>
      </c>
      <c r="AL52" s="24">
        <f>IF(AN52=21,M52,0)</f>
        <v>0</v>
      </c>
      <c r="AN52" s="33">
        <v>0</v>
      </c>
      <c r="AO52" s="33">
        <f>J52*1</f>
        <v>0</v>
      </c>
      <c r="AP52" s="33">
        <f>J52*(1-1)</f>
        <v>0</v>
      </c>
      <c r="AQ52" s="35" t="s">
        <v>145</v>
      </c>
      <c r="AV52" s="33">
        <f>AW52+AX52</f>
        <v>0</v>
      </c>
      <c r="AW52" s="33">
        <f>I52*AO52</f>
        <v>0</v>
      </c>
      <c r="AX52" s="33">
        <f>I52*AP52</f>
        <v>0</v>
      </c>
      <c r="AY52" s="36" t="s">
        <v>155</v>
      </c>
      <c r="AZ52" s="36" t="s">
        <v>160</v>
      </c>
      <c r="BA52" s="32" t="s">
        <v>161</v>
      </c>
      <c r="BC52" s="33">
        <f>AW52+AX52</f>
        <v>0</v>
      </c>
      <c r="BD52" s="33">
        <f>J52/(100-BE52)*100</f>
        <v>0</v>
      </c>
      <c r="BE52" s="33">
        <v>0</v>
      </c>
      <c r="BF52" s="33">
        <f>52</f>
        <v>52</v>
      </c>
      <c r="BH52" s="24">
        <f>I52*AO52</f>
        <v>0</v>
      </c>
      <c r="BI52" s="24">
        <f>I52*AP52</f>
        <v>0</v>
      </c>
      <c r="BJ52" s="24">
        <f>I52*J52</f>
        <v>0</v>
      </c>
      <c r="BK52" s="24" t="s">
        <v>167</v>
      </c>
      <c r="BL52" s="33"/>
    </row>
    <row r="53" spans="1:64" ht="12.75">
      <c r="A53" s="8" t="s">
        <v>31</v>
      </c>
      <c r="B53" s="18" t="s">
        <v>69</v>
      </c>
      <c r="C53" s="114" t="s">
        <v>111</v>
      </c>
      <c r="D53" s="115"/>
      <c r="E53" s="115"/>
      <c r="F53" s="115"/>
      <c r="G53" s="115"/>
      <c r="H53" s="18" t="s">
        <v>123</v>
      </c>
      <c r="I53" s="25">
        <v>70</v>
      </c>
      <c r="J53" s="25">
        <v>0</v>
      </c>
      <c r="K53" s="25">
        <f>I53*AO53</f>
        <v>0</v>
      </c>
      <c r="L53" s="25">
        <f>I53*AP53</f>
        <v>0</v>
      </c>
      <c r="M53" s="44">
        <f>I53*J53</f>
        <v>0</v>
      </c>
      <c r="N53" s="5"/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32"/>
      <c r="AJ53" s="24">
        <f>IF(AN53=0,M53,0)</f>
        <v>0</v>
      </c>
      <c r="AK53" s="24">
        <f>IF(AN53=15,M53,0)</f>
        <v>0</v>
      </c>
      <c r="AL53" s="24">
        <f>IF(AN53=21,M53,0)</f>
        <v>0</v>
      </c>
      <c r="AN53" s="33">
        <v>0</v>
      </c>
      <c r="AO53" s="33">
        <f>J53*1</f>
        <v>0</v>
      </c>
      <c r="AP53" s="33">
        <f>J53*(1-1)</f>
        <v>0</v>
      </c>
      <c r="AQ53" s="35" t="s">
        <v>145</v>
      </c>
      <c r="AV53" s="33">
        <f>AW53+AX53</f>
        <v>0</v>
      </c>
      <c r="AW53" s="33">
        <f>I53*AO53</f>
        <v>0</v>
      </c>
      <c r="AX53" s="33">
        <f>I53*AP53</f>
        <v>0</v>
      </c>
      <c r="AY53" s="36" t="s">
        <v>155</v>
      </c>
      <c r="AZ53" s="36" t="s">
        <v>160</v>
      </c>
      <c r="BA53" s="32" t="s">
        <v>161</v>
      </c>
      <c r="BC53" s="33">
        <f>AW53+AX53</f>
        <v>0</v>
      </c>
      <c r="BD53" s="33">
        <f>J53/(100-BE53)*100</f>
        <v>0</v>
      </c>
      <c r="BE53" s="33">
        <v>0</v>
      </c>
      <c r="BF53" s="33">
        <f>53</f>
        <v>53</v>
      </c>
      <c r="BH53" s="24">
        <f>I53*AO53</f>
        <v>0</v>
      </c>
      <c r="BI53" s="24">
        <f>I53*AP53</f>
        <v>0</v>
      </c>
      <c r="BJ53" s="24">
        <f>I53*J53</f>
        <v>0</v>
      </c>
      <c r="BK53" s="24" t="s">
        <v>167</v>
      </c>
      <c r="BL53" s="33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116" t="s">
        <v>133</v>
      </c>
      <c r="L54" s="82"/>
      <c r="M54" s="45">
        <f>M12+M27+M30+M32+M37+M39+M41+M43+M45+M50</f>
        <v>0</v>
      </c>
    </row>
    <row r="55" ht="11.25" customHeight="1">
      <c r="A55" s="10" t="s">
        <v>32</v>
      </c>
    </row>
    <row r="56" spans="1:13" ht="12.75">
      <c r="A56" s="89" t="s">
        <v>33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</sheetData>
  <sheetProtection/>
  <mergeCells count="72">
    <mergeCell ref="C51:G51"/>
    <mergeCell ref="C52:G52"/>
    <mergeCell ref="C53:G53"/>
    <mergeCell ref="K54:L54"/>
    <mergeCell ref="A56:M56"/>
    <mergeCell ref="C45:G45"/>
    <mergeCell ref="C46:G46"/>
    <mergeCell ref="C47:G47"/>
    <mergeCell ref="C48:M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M29"/>
    <mergeCell ref="C30:G30"/>
    <mergeCell ref="C31:G31"/>
    <mergeCell ref="C32:G32"/>
    <mergeCell ref="C21:M21"/>
    <mergeCell ref="C22:G22"/>
    <mergeCell ref="C23:G23"/>
    <mergeCell ref="C24:M24"/>
    <mergeCell ref="C25:G25"/>
    <mergeCell ref="C26:M26"/>
    <mergeCell ref="C15:G15"/>
    <mergeCell ref="C16:M16"/>
    <mergeCell ref="C17:G17"/>
    <mergeCell ref="C18:G18"/>
    <mergeCell ref="C19:M19"/>
    <mergeCell ref="C20:G20"/>
    <mergeCell ref="C10:G10"/>
    <mergeCell ref="K10:M10"/>
    <mergeCell ref="C11:G11"/>
    <mergeCell ref="C12:G12"/>
    <mergeCell ref="C13:G13"/>
    <mergeCell ref="C14:G14"/>
    <mergeCell ref="A8:B9"/>
    <mergeCell ref="C8:D9"/>
    <mergeCell ref="E8:F9"/>
    <mergeCell ref="G8:G9"/>
    <mergeCell ref="H8:I9"/>
    <mergeCell ref="J8:M9"/>
    <mergeCell ref="A6:B7"/>
    <mergeCell ref="C6:D7"/>
    <mergeCell ref="E6:F7"/>
    <mergeCell ref="G6:G7"/>
    <mergeCell ref="H6:I7"/>
    <mergeCell ref="J6:M7"/>
    <mergeCell ref="A4:B5"/>
    <mergeCell ref="C4:D5"/>
    <mergeCell ref="E4:F5"/>
    <mergeCell ref="G4:G5"/>
    <mergeCell ref="H4:I5"/>
    <mergeCell ref="J4:M5"/>
    <mergeCell ref="A1:M1"/>
    <mergeCell ref="A2:B3"/>
    <mergeCell ref="C2:D3"/>
    <mergeCell ref="E2:F3"/>
    <mergeCell ref="G2:G3"/>
    <mergeCell ref="H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2" sqref="C2:C3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5" t="s">
        <v>169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78"/>
      <c r="C2" s="81" t="str">
        <f>'Stavební rozpočet'!C2</f>
        <v>Oprava střech  budova B - vertikála č. 1</v>
      </c>
      <c r="D2" s="84" t="s">
        <v>112</v>
      </c>
      <c r="E2" s="84" t="s">
        <v>6</v>
      </c>
      <c r="F2" s="85" t="s">
        <v>117</v>
      </c>
      <c r="G2" s="117" t="str">
        <f>'Stavební rozpočet'!J2</f>
        <v> </v>
      </c>
      <c r="H2" s="5"/>
    </row>
    <row r="3" spans="1:8" ht="12.75">
      <c r="A3" s="79"/>
      <c r="B3" s="80"/>
      <c r="C3" s="83"/>
      <c r="D3" s="80"/>
      <c r="E3" s="80"/>
      <c r="F3" s="80"/>
      <c r="G3" s="87"/>
      <c r="H3" s="5"/>
    </row>
    <row r="4" spans="1:8" ht="12.75">
      <c r="A4" s="88" t="s">
        <v>2</v>
      </c>
      <c r="B4" s="80"/>
      <c r="C4" s="89" t="str">
        <f>'Stavební rozpočet'!C4</f>
        <v>Nemocnice</v>
      </c>
      <c r="D4" s="90" t="s">
        <v>113</v>
      </c>
      <c r="E4" s="90" t="s">
        <v>6</v>
      </c>
      <c r="F4" s="89" t="s">
        <v>118</v>
      </c>
      <c r="G4" s="118" t="str">
        <f>'Stavební rozpočet'!J4</f>
        <v> </v>
      </c>
      <c r="H4" s="5"/>
    </row>
    <row r="5" spans="1:8" ht="12.75">
      <c r="A5" s="79"/>
      <c r="B5" s="80"/>
      <c r="C5" s="80"/>
      <c r="D5" s="80"/>
      <c r="E5" s="80"/>
      <c r="F5" s="80"/>
      <c r="G5" s="87"/>
      <c r="H5" s="5"/>
    </row>
    <row r="6" spans="1:8" ht="12.75">
      <c r="A6" s="88" t="s">
        <v>3</v>
      </c>
      <c r="B6" s="80"/>
      <c r="C6" s="89" t="str">
        <f>'Stavební rozpočet'!C6</f>
        <v>Chomutov</v>
      </c>
      <c r="D6" s="90" t="s">
        <v>114</v>
      </c>
      <c r="E6" s="90" t="s">
        <v>6</v>
      </c>
      <c r="F6" s="89" t="s">
        <v>119</v>
      </c>
      <c r="G6" s="118"/>
      <c r="H6" s="5"/>
    </row>
    <row r="7" spans="1:8" ht="12.75">
      <c r="A7" s="79"/>
      <c r="B7" s="80"/>
      <c r="C7" s="80"/>
      <c r="D7" s="80"/>
      <c r="E7" s="80"/>
      <c r="F7" s="80"/>
      <c r="G7" s="87"/>
      <c r="H7" s="5"/>
    </row>
    <row r="8" spans="1:8" ht="12.75">
      <c r="A8" s="88" t="s">
        <v>120</v>
      </c>
      <c r="B8" s="80"/>
      <c r="C8" s="89"/>
      <c r="D8" s="90" t="s">
        <v>115</v>
      </c>
      <c r="E8" s="90" t="s">
        <v>116</v>
      </c>
      <c r="F8" s="90" t="s">
        <v>115</v>
      </c>
      <c r="G8" s="118" t="str">
        <f>'Stavební rozpočet'!G8</f>
        <v>27.04.2023</v>
      </c>
      <c r="H8" s="5"/>
    </row>
    <row r="9" spans="1:8" ht="12.75">
      <c r="A9" s="91"/>
      <c r="B9" s="92"/>
      <c r="C9" s="92"/>
      <c r="D9" s="119"/>
      <c r="E9" s="92"/>
      <c r="F9" s="92"/>
      <c r="G9" s="93"/>
      <c r="H9" s="5"/>
    </row>
    <row r="10" spans="1:8" ht="12.75">
      <c r="A10" s="46" t="s">
        <v>170</v>
      </c>
      <c r="B10" s="49" t="s">
        <v>34</v>
      </c>
      <c r="C10" s="51" t="s">
        <v>171</v>
      </c>
      <c r="D10" s="52"/>
      <c r="E10" s="53" t="s">
        <v>172</v>
      </c>
      <c r="F10" s="53" t="s">
        <v>173</v>
      </c>
      <c r="G10" s="53" t="s">
        <v>174</v>
      </c>
      <c r="H10" s="5"/>
    </row>
    <row r="11" spans="1:9" ht="12.75">
      <c r="A11" s="47"/>
      <c r="B11" s="50" t="s">
        <v>35</v>
      </c>
      <c r="C11" s="120" t="s">
        <v>74</v>
      </c>
      <c r="D11" s="80"/>
      <c r="E11" s="55">
        <f>'Stavební rozpočet'!K12</f>
        <v>0</v>
      </c>
      <c r="F11" s="55">
        <f>'Stavební rozpočet'!L12</f>
        <v>0</v>
      </c>
      <c r="G11" s="55">
        <f>'Stavební rozpočet'!M12</f>
        <v>0</v>
      </c>
      <c r="H11" s="33" t="s">
        <v>175</v>
      </c>
      <c r="I11" s="33">
        <f aca="true" t="shared" si="0" ref="I11:I20">IF(H11="F",0,G11)</f>
        <v>0</v>
      </c>
    </row>
    <row r="12" spans="1:9" ht="12.75">
      <c r="A12" s="48"/>
      <c r="B12" s="19" t="s">
        <v>46</v>
      </c>
      <c r="C12" s="90" t="s">
        <v>88</v>
      </c>
      <c r="D12" s="80"/>
      <c r="E12" s="33">
        <f>'Stavební rozpočet'!K27</f>
        <v>0</v>
      </c>
      <c r="F12" s="33">
        <f>'Stavební rozpočet'!L27</f>
        <v>0</v>
      </c>
      <c r="G12" s="33">
        <f>'Stavební rozpočet'!M27</f>
        <v>0</v>
      </c>
      <c r="H12" s="33" t="s">
        <v>175</v>
      </c>
      <c r="I12" s="33">
        <f t="shared" si="0"/>
        <v>0</v>
      </c>
    </row>
    <row r="13" spans="1:9" ht="12.75">
      <c r="A13" s="48"/>
      <c r="B13" s="19" t="s">
        <v>48</v>
      </c>
      <c r="C13" s="90" t="s">
        <v>91</v>
      </c>
      <c r="D13" s="80"/>
      <c r="E13" s="33">
        <f>'Stavební rozpočet'!K30</f>
        <v>0</v>
      </c>
      <c r="F13" s="33">
        <f>'Stavební rozpočet'!L30</f>
        <v>0</v>
      </c>
      <c r="G13" s="33">
        <f>'Stavební rozpočet'!M30</f>
        <v>0</v>
      </c>
      <c r="H13" s="33" t="s">
        <v>175</v>
      </c>
      <c r="I13" s="33">
        <f t="shared" si="0"/>
        <v>0</v>
      </c>
    </row>
    <row r="14" spans="1:9" ht="12.75">
      <c r="A14" s="48"/>
      <c r="B14" s="19" t="s">
        <v>50</v>
      </c>
      <c r="C14" s="90" t="s">
        <v>93</v>
      </c>
      <c r="D14" s="80"/>
      <c r="E14" s="33">
        <f>'Stavební rozpočet'!K32</f>
        <v>0</v>
      </c>
      <c r="F14" s="33">
        <f>'Stavební rozpočet'!L32</f>
        <v>0</v>
      </c>
      <c r="G14" s="33">
        <f>'Stavební rozpočet'!M32</f>
        <v>0</v>
      </c>
      <c r="H14" s="33" t="s">
        <v>175</v>
      </c>
      <c r="I14" s="33">
        <f t="shared" si="0"/>
        <v>0</v>
      </c>
    </row>
    <row r="15" spans="1:9" ht="12.75">
      <c r="A15" s="48"/>
      <c r="B15" s="19" t="s">
        <v>55</v>
      </c>
      <c r="C15" s="90" t="s">
        <v>98</v>
      </c>
      <c r="D15" s="80"/>
      <c r="E15" s="33">
        <f>'Stavební rozpočet'!K37</f>
        <v>0</v>
      </c>
      <c r="F15" s="33">
        <f>'Stavební rozpočet'!L37</f>
        <v>0</v>
      </c>
      <c r="G15" s="33">
        <f>'Stavební rozpočet'!M37</f>
        <v>0</v>
      </c>
      <c r="H15" s="33" t="s">
        <v>175</v>
      </c>
      <c r="I15" s="33">
        <f t="shared" si="0"/>
        <v>0</v>
      </c>
    </row>
    <row r="16" spans="1:9" ht="12.75">
      <c r="A16" s="48"/>
      <c r="B16" s="19" t="s">
        <v>57</v>
      </c>
      <c r="C16" s="90" t="s">
        <v>74</v>
      </c>
      <c r="D16" s="80"/>
      <c r="E16" s="33">
        <f>'Stavební rozpočet'!K39</f>
        <v>0</v>
      </c>
      <c r="F16" s="33">
        <f>'Stavební rozpočet'!L39</f>
        <v>0</v>
      </c>
      <c r="G16" s="33">
        <f>'Stavební rozpočet'!M39</f>
        <v>0</v>
      </c>
      <c r="H16" s="33" t="s">
        <v>175</v>
      </c>
      <c r="I16" s="33">
        <f t="shared" si="0"/>
        <v>0</v>
      </c>
    </row>
    <row r="17" spans="1:9" ht="12.75">
      <c r="A17" s="48"/>
      <c r="B17" s="19" t="s">
        <v>59</v>
      </c>
      <c r="C17" s="90" t="s">
        <v>91</v>
      </c>
      <c r="D17" s="80"/>
      <c r="E17" s="33">
        <f>'Stavební rozpočet'!K41</f>
        <v>0</v>
      </c>
      <c r="F17" s="33">
        <f>'Stavební rozpočet'!L41</f>
        <v>0</v>
      </c>
      <c r="G17" s="33">
        <f>'Stavební rozpočet'!M41</f>
        <v>0</v>
      </c>
      <c r="H17" s="33" t="s">
        <v>175</v>
      </c>
      <c r="I17" s="33">
        <f t="shared" si="0"/>
        <v>0</v>
      </c>
    </row>
    <row r="18" spans="1:9" ht="12.75">
      <c r="A18" s="48"/>
      <c r="B18" s="19" t="s">
        <v>61</v>
      </c>
      <c r="C18" s="90" t="s">
        <v>93</v>
      </c>
      <c r="D18" s="80"/>
      <c r="E18" s="33">
        <f>'Stavební rozpočet'!K43</f>
        <v>0</v>
      </c>
      <c r="F18" s="33">
        <f>'Stavební rozpočet'!L43</f>
        <v>0</v>
      </c>
      <c r="G18" s="33">
        <f>'Stavební rozpočet'!M43</f>
        <v>0</v>
      </c>
      <c r="H18" s="33" t="s">
        <v>175</v>
      </c>
      <c r="I18" s="33">
        <f t="shared" si="0"/>
        <v>0</v>
      </c>
    </row>
    <row r="19" spans="1:9" ht="12.75">
      <c r="A19" s="48"/>
      <c r="B19" s="19" t="s">
        <v>63</v>
      </c>
      <c r="C19" s="90" t="s">
        <v>103</v>
      </c>
      <c r="D19" s="80"/>
      <c r="E19" s="33">
        <f>'Stavební rozpočet'!K45</f>
        <v>0</v>
      </c>
      <c r="F19" s="33">
        <f>'Stavební rozpočet'!L45</f>
        <v>0</v>
      </c>
      <c r="G19" s="33">
        <f>'Stavební rozpočet'!M45</f>
        <v>0</v>
      </c>
      <c r="H19" s="33" t="s">
        <v>175</v>
      </c>
      <c r="I19" s="33">
        <f t="shared" si="0"/>
        <v>0</v>
      </c>
    </row>
    <row r="20" spans="1:9" ht="12.75">
      <c r="A20" s="48"/>
      <c r="B20" s="19"/>
      <c r="C20" s="90" t="s">
        <v>108</v>
      </c>
      <c r="D20" s="80"/>
      <c r="E20" s="33">
        <f>'Stavební rozpočet'!K50</f>
        <v>0</v>
      </c>
      <c r="F20" s="33">
        <f>'Stavební rozpočet'!L50</f>
        <v>0</v>
      </c>
      <c r="G20" s="33">
        <f>'Stavební rozpočet'!M50</f>
        <v>0</v>
      </c>
      <c r="H20" s="33" t="s">
        <v>175</v>
      </c>
      <c r="I20" s="33">
        <f t="shared" si="0"/>
        <v>0</v>
      </c>
    </row>
    <row r="21" spans="6:7" ht="12.75">
      <c r="F21" s="54" t="s">
        <v>133</v>
      </c>
      <c r="G21" s="56">
        <f>SUM(I11:I20)</f>
        <v>0</v>
      </c>
    </row>
  </sheetData>
  <sheetProtection/>
  <mergeCells count="35"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7"/>
      <c r="C1" s="121" t="s">
        <v>191</v>
      </c>
      <c r="D1" s="76"/>
      <c r="E1" s="76"/>
      <c r="F1" s="76"/>
      <c r="G1" s="76"/>
      <c r="H1" s="76"/>
      <c r="I1" s="76"/>
    </row>
    <row r="2" spans="1:10" ht="12.75">
      <c r="A2" s="77" t="s">
        <v>1</v>
      </c>
      <c r="B2" s="78"/>
      <c r="C2" s="81" t="s">
        <v>219</v>
      </c>
      <c r="D2" s="82"/>
      <c r="E2" s="85" t="s">
        <v>117</v>
      </c>
      <c r="F2" s="85" t="str">
        <f>'Stavební rozpočet'!J2</f>
        <v> </v>
      </c>
      <c r="G2" s="78"/>
      <c r="H2" s="85" t="s">
        <v>215</v>
      </c>
      <c r="I2" s="122"/>
      <c r="J2" s="5"/>
    </row>
    <row r="3" spans="1:10" ht="12.75">
      <c r="A3" s="79"/>
      <c r="B3" s="80"/>
      <c r="C3" s="83"/>
      <c r="D3" s="83"/>
      <c r="E3" s="80"/>
      <c r="F3" s="80"/>
      <c r="G3" s="80"/>
      <c r="H3" s="80"/>
      <c r="I3" s="87"/>
      <c r="J3" s="5"/>
    </row>
    <row r="4" spans="1:10" ht="12.75">
      <c r="A4" s="88" t="s">
        <v>2</v>
      </c>
      <c r="B4" s="80"/>
      <c r="C4" s="89" t="str">
        <f>'Stavební rozpočet'!C4</f>
        <v>Nemocnice</v>
      </c>
      <c r="D4" s="80"/>
      <c r="E4" s="89" t="s">
        <v>118</v>
      </c>
      <c r="F4" s="89" t="str">
        <f>'Stavební rozpočet'!J4</f>
        <v> </v>
      </c>
      <c r="G4" s="80"/>
      <c r="H4" s="89" t="s">
        <v>215</v>
      </c>
      <c r="I4" s="123"/>
      <c r="J4" s="5"/>
    </row>
    <row r="5" spans="1:10" ht="12.75">
      <c r="A5" s="79"/>
      <c r="B5" s="80"/>
      <c r="C5" s="80"/>
      <c r="D5" s="80"/>
      <c r="E5" s="80"/>
      <c r="F5" s="80"/>
      <c r="G5" s="80"/>
      <c r="H5" s="80"/>
      <c r="I5" s="87"/>
      <c r="J5" s="5"/>
    </row>
    <row r="6" spans="1:10" ht="12.75">
      <c r="A6" s="88" t="s">
        <v>3</v>
      </c>
      <c r="B6" s="80"/>
      <c r="C6" s="89" t="str">
        <f>'Stavební rozpočet'!C6</f>
        <v>Chomutov</v>
      </c>
      <c r="D6" s="80"/>
      <c r="E6" s="89" t="s">
        <v>119</v>
      </c>
      <c r="F6" s="89"/>
      <c r="G6" s="80"/>
      <c r="H6" s="89" t="s">
        <v>215</v>
      </c>
      <c r="I6" s="123"/>
      <c r="J6" s="5"/>
    </row>
    <row r="7" spans="1:10" ht="12.75">
      <c r="A7" s="79"/>
      <c r="B7" s="80"/>
      <c r="C7" s="80"/>
      <c r="D7" s="80"/>
      <c r="E7" s="80"/>
      <c r="F7" s="80"/>
      <c r="G7" s="80"/>
      <c r="H7" s="80"/>
      <c r="I7" s="87"/>
      <c r="J7" s="5"/>
    </row>
    <row r="8" spans="1:10" ht="12.75">
      <c r="A8" s="88" t="s">
        <v>113</v>
      </c>
      <c r="B8" s="80"/>
      <c r="C8" s="89" t="str">
        <f>'Stavební rozpočet'!G4</f>
        <v> </v>
      </c>
      <c r="D8" s="80"/>
      <c r="E8" s="89" t="s">
        <v>114</v>
      </c>
      <c r="F8" s="89" t="str">
        <f>'Stavební rozpočet'!G6</f>
        <v> </v>
      </c>
      <c r="G8" s="80"/>
      <c r="H8" s="90" t="s">
        <v>216</v>
      </c>
      <c r="I8" s="123" t="s">
        <v>31</v>
      </c>
      <c r="J8" s="5"/>
    </row>
    <row r="9" spans="1:10" ht="12.75">
      <c r="A9" s="79"/>
      <c r="B9" s="80"/>
      <c r="C9" s="80"/>
      <c r="D9" s="80"/>
      <c r="E9" s="80"/>
      <c r="F9" s="80"/>
      <c r="G9" s="80"/>
      <c r="H9" s="80"/>
      <c r="I9" s="87"/>
      <c r="J9" s="5"/>
    </row>
    <row r="10" spans="1:10" ht="12.75">
      <c r="A10" s="88" t="s">
        <v>4</v>
      </c>
      <c r="B10" s="80"/>
      <c r="C10" s="89" t="str">
        <f>'Stavební rozpočet'!C8</f>
        <v> </v>
      </c>
      <c r="D10" s="80"/>
      <c r="E10" s="89" t="s">
        <v>120</v>
      </c>
      <c r="F10" s="89"/>
      <c r="G10" s="80"/>
      <c r="H10" s="90" t="s">
        <v>217</v>
      </c>
      <c r="I10" s="118"/>
      <c r="J10" s="5"/>
    </row>
    <row r="11" spans="1:10" ht="12.75">
      <c r="A11" s="124"/>
      <c r="B11" s="119"/>
      <c r="C11" s="119"/>
      <c r="D11" s="119"/>
      <c r="E11" s="119"/>
      <c r="F11" s="119"/>
      <c r="G11" s="119"/>
      <c r="H11" s="119"/>
      <c r="I11" s="125"/>
      <c r="J11" s="5"/>
    </row>
    <row r="12" spans="1:9" ht="23.25" customHeight="1">
      <c r="A12" s="126" t="s">
        <v>176</v>
      </c>
      <c r="B12" s="127"/>
      <c r="C12" s="127"/>
      <c r="D12" s="127"/>
      <c r="E12" s="127"/>
      <c r="F12" s="127"/>
      <c r="G12" s="127"/>
      <c r="H12" s="127"/>
      <c r="I12" s="127"/>
    </row>
    <row r="13" spans="1:10" ht="26.25" customHeight="1">
      <c r="A13" s="58" t="s">
        <v>177</v>
      </c>
      <c r="B13" s="128" t="s">
        <v>189</v>
      </c>
      <c r="C13" s="129"/>
      <c r="D13" s="58" t="s">
        <v>192</v>
      </c>
      <c r="E13" s="128" t="s">
        <v>201</v>
      </c>
      <c r="F13" s="129"/>
      <c r="G13" s="58" t="s">
        <v>202</v>
      </c>
      <c r="H13" s="128" t="s">
        <v>218</v>
      </c>
      <c r="I13" s="129"/>
      <c r="J13" s="5"/>
    </row>
    <row r="14" spans="1:10" ht="15" customHeight="1">
      <c r="A14" s="59" t="s">
        <v>178</v>
      </c>
      <c r="B14" s="63" t="s">
        <v>190</v>
      </c>
      <c r="C14" s="67">
        <f>SUM('Stavební rozpočet'!AB12:AB53)</f>
        <v>0</v>
      </c>
      <c r="D14" s="130" t="s">
        <v>193</v>
      </c>
      <c r="E14" s="131"/>
      <c r="F14" s="67">
        <v>0</v>
      </c>
      <c r="G14" s="130" t="s">
        <v>203</v>
      </c>
      <c r="H14" s="131"/>
      <c r="I14" s="68" t="s">
        <v>145</v>
      </c>
      <c r="J14" s="5"/>
    </row>
    <row r="15" spans="1:10" ht="15" customHeight="1">
      <c r="A15" s="60"/>
      <c r="B15" s="63" t="s">
        <v>134</v>
      </c>
      <c r="C15" s="67">
        <f>SUM('Stavební rozpočet'!AC12:AC53)</f>
        <v>0</v>
      </c>
      <c r="D15" s="130" t="s">
        <v>194</v>
      </c>
      <c r="E15" s="131"/>
      <c r="F15" s="67">
        <v>0</v>
      </c>
      <c r="G15" s="130" t="s">
        <v>204</v>
      </c>
      <c r="H15" s="131"/>
      <c r="I15" s="68" t="s">
        <v>145</v>
      </c>
      <c r="J15" s="5"/>
    </row>
    <row r="16" spans="1:10" ht="15" customHeight="1">
      <c r="A16" s="59" t="s">
        <v>179</v>
      </c>
      <c r="B16" s="63" t="s">
        <v>190</v>
      </c>
      <c r="C16" s="67">
        <f>SUM('Stavební rozpočet'!AD12:AD53)</f>
        <v>0</v>
      </c>
      <c r="D16" s="130" t="s">
        <v>195</v>
      </c>
      <c r="E16" s="131"/>
      <c r="F16" s="67">
        <v>0</v>
      </c>
      <c r="G16" s="130" t="s">
        <v>205</v>
      </c>
      <c r="H16" s="131"/>
      <c r="I16" s="68" t="s">
        <v>145</v>
      </c>
      <c r="J16" s="5"/>
    </row>
    <row r="17" spans="1:10" ht="15" customHeight="1">
      <c r="A17" s="60"/>
      <c r="B17" s="63" t="s">
        <v>134</v>
      </c>
      <c r="C17" s="67">
        <f>SUM('Stavební rozpočet'!AE12:AE53)</f>
        <v>0</v>
      </c>
      <c r="D17" s="130"/>
      <c r="E17" s="131"/>
      <c r="F17" s="68"/>
      <c r="G17" s="130" t="s">
        <v>206</v>
      </c>
      <c r="H17" s="131"/>
      <c r="I17" s="68" t="s">
        <v>145</v>
      </c>
      <c r="J17" s="5"/>
    </row>
    <row r="18" spans="1:10" ht="15" customHeight="1">
      <c r="A18" s="59" t="s">
        <v>180</v>
      </c>
      <c r="B18" s="63" t="s">
        <v>190</v>
      </c>
      <c r="C18" s="67">
        <f>SUM('Stavební rozpočet'!AF12:AF53)</f>
        <v>0</v>
      </c>
      <c r="D18" s="130"/>
      <c r="E18" s="131"/>
      <c r="F18" s="68"/>
      <c r="G18" s="130" t="s">
        <v>103</v>
      </c>
      <c r="H18" s="131"/>
      <c r="I18" s="68" t="s">
        <v>145</v>
      </c>
      <c r="J18" s="5"/>
    </row>
    <row r="19" spans="1:10" ht="15" customHeight="1">
      <c r="A19" s="60"/>
      <c r="B19" s="63" t="s">
        <v>134</v>
      </c>
      <c r="C19" s="67">
        <f>SUM('Stavební rozpočet'!AG12:AG53)</f>
        <v>0</v>
      </c>
      <c r="D19" s="130"/>
      <c r="E19" s="131"/>
      <c r="F19" s="68"/>
      <c r="G19" s="130" t="s">
        <v>207</v>
      </c>
      <c r="H19" s="131"/>
      <c r="I19" s="68" t="s">
        <v>145</v>
      </c>
      <c r="J19" s="5"/>
    </row>
    <row r="20" spans="1:10" ht="15" customHeight="1">
      <c r="A20" s="132" t="s">
        <v>108</v>
      </c>
      <c r="B20" s="133"/>
      <c r="C20" s="67">
        <f>SUM('Stavební rozpočet'!AH12:AH53)</f>
        <v>0</v>
      </c>
      <c r="D20" s="130"/>
      <c r="E20" s="131"/>
      <c r="F20" s="68"/>
      <c r="G20" s="130"/>
      <c r="H20" s="131"/>
      <c r="I20" s="68"/>
      <c r="J20" s="5"/>
    </row>
    <row r="21" spans="1:10" ht="15" customHeight="1">
      <c r="A21" s="132" t="s">
        <v>181</v>
      </c>
      <c r="B21" s="133"/>
      <c r="C21" s="67">
        <f>SUM('Stavební rozpočet'!Z12:Z53)</f>
        <v>0</v>
      </c>
      <c r="D21" s="130"/>
      <c r="E21" s="131"/>
      <c r="F21" s="68"/>
      <c r="G21" s="130"/>
      <c r="H21" s="131"/>
      <c r="I21" s="68"/>
      <c r="J21" s="5"/>
    </row>
    <row r="22" spans="1:10" ht="16.5" customHeight="1">
      <c r="A22" s="132" t="s">
        <v>182</v>
      </c>
      <c r="B22" s="133"/>
      <c r="C22" s="67">
        <f>SUM(C14:C21)</f>
        <v>0</v>
      </c>
      <c r="D22" s="132" t="s">
        <v>196</v>
      </c>
      <c r="E22" s="133"/>
      <c r="F22" s="67">
        <f>SUM(F14:F21)</f>
        <v>0</v>
      </c>
      <c r="G22" s="132" t="s">
        <v>208</v>
      </c>
      <c r="H22" s="133"/>
      <c r="I22" s="67">
        <f>SUM(I14:I21)</f>
        <v>0</v>
      </c>
      <c r="J22" s="5"/>
    </row>
    <row r="23" spans="1:10" ht="15" customHeight="1">
      <c r="A23" s="9"/>
      <c r="B23" s="9"/>
      <c r="C23" s="65"/>
      <c r="D23" s="132" t="s">
        <v>197</v>
      </c>
      <c r="E23" s="133"/>
      <c r="F23" s="69">
        <v>0</v>
      </c>
      <c r="G23" s="132" t="s">
        <v>209</v>
      </c>
      <c r="H23" s="133"/>
      <c r="I23" s="67">
        <v>0</v>
      </c>
      <c r="J23" s="5"/>
    </row>
    <row r="24" spans="4:9" ht="15" customHeight="1">
      <c r="D24" s="9"/>
      <c r="E24" s="9"/>
      <c r="F24" s="70"/>
      <c r="G24" s="132" t="s">
        <v>210</v>
      </c>
      <c r="H24" s="133"/>
      <c r="I24" s="72"/>
    </row>
    <row r="25" spans="6:10" ht="15" customHeight="1">
      <c r="F25" s="71"/>
      <c r="G25" s="132" t="s">
        <v>211</v>
      </c>
      <c r="H25" s="133"/>
      <c r="I25" s="67">
        <v>0</v>
      </c>
      <c r="J25" s="5"/>
    </row>
    <row r="26" spans="1:9" ht="12.75">
      <c r="A26" s="57"/>
      <c r="B26" s="57"/>
      <c r="C26" s="57"/>
      <c r="G26" s="9"/>
      <c r="H26" s="9"/>
      <c r="I26" s="9"/>
    </row>
    <row r="27" spans="1:9" ht="15" customHeight="1">
      <c r="A27" s="134" t="s">
        <v>183</v>
      </c>
      <c r="B27" s="135"/>
      <c r="C27" s="73">
        <f>SUM('Stavební rozpočet'!AJ12:AJ53)+(F22+I22+F23+I23+I24+I25)</f>
        <v>0</v>
      </c>
      <c r="D27" s="66"/>
      <c r="E27" s="57"/>
      <c r="F27" s="57"/>
      <c r="G27" s="57"/>
      <c r="H27" s="57"/>
      <c r="I27" s="57"/>
    </row>
    <row r="28" spans="1:10" ht="15" customHeight="1">
      <c r="A28" s="134" t="s">
        <v>184</v>
      </c>
      <c r="B28" s="135"/>
      <c r="C28" s="73">
        <f>SUM('Stavební rozpočet'!AK12:AK53)</f>
        <v>0</v>
      </c>
      <c r="D28" s="134" t="s">
        <v>198</v>
      </c>
      <c r="E28" s="135"/>
      <c r="F28" s="73">
        <f>ROUND(C28*(15/100),2)</f>
        <v>0</v>
      </c>
      <c r="G28" s="134" t="s">
        <v>212</v>
      </c>
      <c r="H28" s="135"/>
      <c r="I28" s="73">
        <f>SUM(C27:C29)</f>
        <v>0</v>
      </c>
      <c r="J28" s="5"/>
    </row>
    <row r="29" spans="1:10" ht="15" customHeight="1">
      <c r="A29" s="134" t="s">
        <v>185</v>
      </c>
      <c r="B29" s="135"/>
      <c r="C29" s="73">
        <f>SUM('Stavební rozpočet'!AL12:AL53)</f>
        <v>0</v>
      </c>
      <c r="D29" s="134" t="s">
        <v>199</v>
      </c>
      <c r="E29" s="135"/>
      <c r="F29" s="73">
        <f>ROUND(C29*(21/100),2)</f>
        <v>0</v>
      </c>
      <c r="G29" s="134" t="s">
        <v>213</v>
      </c>
      <c r="H29" s="135"/>
      <c r="I29" s="73">
        <f>SUM(F28:F29)+I28</f>
        <v>0</v>
      </c>
      <c r="J29" s="5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4.25" customHeight="1">
      <c r="A31" s="136" t="s">
        <v>186</v>
      </c>
      <c r="B31" s="137"/>
      <c r="C31" s="138"/>
      <c r="D31" s="136" t="s">
        <v>200</v>
      </c>
      <c r="E31" s="137"/>
      <c r="F31" s="138"/>
      <c r="G31" s="136" t="s">
        <v>214</v>
      </c>
      <c r="H31" s="137"/>
      <c r="I31" s="138"/>
      <c r="J31" s="31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31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1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1"/>
    </row>
    <row r="35" spans="1:10" ht="14.25" customHeight="1">
      <c r="A35" s="142" t="s">
        <v>187</v>
      </c>
      <c r="B35" s="143"/>
      <c r="C35" s="144"/>
      <c r="D35" s="142" t="s">
        <v>187</v>
      </c>
      <c r="E35" s="143"/>
      <c r="F35" s="144"/>
      <c r="G35" s="142" t="s">
        <v>187</v>
      </c>
      <c r="H35" s="143"/>
      <c r="I35" s="144"/>
      <c r="J35" s="31"/>
    </row>
    <row r="36" spans="1:9" ht="11.25" customHeight="1">
      <c r="A36" s="62" t="s">
        <v>32</v>
      </c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89" t="s">
        <v>188</v>
      </c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RNstřechy</dc:creator>
  <cp:keywords/>
  <dc:description/>
  <cp:lastModifiedBy>Slavíková Dagmar</cp:lastModifiedBy>
  <dcterms:created xsi:type="dcterms:W3CDTF">2023-04-28T11:46:50Z</dcterms:created>
  <dcterms:modified xsi:type="dcterms:W3CDTF">2023-05-16T11:58:52Z</dcterms:modified>
  <cp:category/>
  <cp:version/>
  <cp:contentType/>
  <cp:contentStatus/>
</cp:coreProperties>
</file>